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90" windowWidth="19320" windowHeight="12120"/>
  </bookViews>
  <sheets>
    <sheet name="附件1" sheetId="2" r:id="rId1"/>
    <sheet name="附件2" sheetId="4" r:id="rId2"/>
    <sheet name="附件3" sheetId="3" r:id="rId3"/>
  </sheets>
  <definedNames>
    <definedName name="_xlnm.Print_Area" localSheetId="0">附件1!$A$2:$T$22</definedName>
    <definedName name="_xlnm.Print_Area" localSheetId="1">附件2!$A$2:$AD$22</definedName>
    <definedName name="Print_Title" localSheetId="0">附件1!$3:$7</definedName>
    <definedName name="Print_Title" localSheetId="1">附件2!$3:$7</definedName>
    <definedName name="Print_Title" localSheetId="2">附件3!$3:$6</definedName>
    <definedName name="_xlnm.Print_Titles" localSheetId="0">附件1!$4:$7</definedName>
    <definedName name="_xlnm.Print_Titles" localSheetId="2">附件3!$4:$6</definedName>
  </definedNames>
  <calcPr calcId="145621"/>
</workbook>
</file>

<file path=xl/calcChain.xml><?xml version="1.0" encoding="utf-8"?>
<calcChain xmlns="http://schemas.openxmlformats.org/spreadsheetml/2006/main">
  <c r="M22" i="4" l="1"/>
  <c r="Q22" i="4" s="1"/>
  <c r="K22" i="4"/>
  <c r="J22" i="4"/>
  <c r="I22" i="4"/>
  <c r="H22" i="4"/>
  <c r="L22" i="4" s="1"/>
  <c r="P22" i="4" s="1"/>
  <c r="K21" i="4"/>
  <c r="J21" i="4"/>
  <c r="M21" i="4" s="1"/>
  <c r="Q21" i="4" s="1"/>
  <c r="I21" i="4"/>
  <c r="H21" i="4"/>
  <c r="L21" i="4" s="1"/>
  <c r="P21" i="4" s="1"/>
  <c r="K20" i="4"/>
  <c r="K8" i="4" s="1"/>
  <c r="J20" i="4"/>
  <c r="M20" i="4" s="1"/>
  <c r="Q20" i="4" s="1"/>
  <c r="I20" i="4"/>
  <c r="H20" i="4"/>
  <c r="L20" i="4" s="1"/>
  <c r="P20" i="4" s="1"/>
  <c r="K19" i="4"/>
  <c r="J19" i="4"/>
  <c r="M19" i="4" s="1"/>
  <c r="Q19" i="4" s="1"/>
  <c r="I19" i="4"/>
  <c r="H19" i="4"/>
  <c r="L19" i="4" s="1"/>
  <c r="P19" i="4" s="1"/>
  <c r="M18" i="4"/>
  <c r="Q18" i="4" s="1"/>
  <c r="K18" i="4"/>
  <c r="J18" i="4"/>
  <c r="I18" i="4"/>
  <c r="H18" i="4"/>
  <c r="L18" i="4" s="1"/>
  <c r="P18" i="4" s="1"/>
  <c r="K17" i="4"/>
  <c r="J17" i="4"/>
  <c r="M17" i="4" s="1"/>
  <c r="Q17" i="4" s="1"/>
  <c r="I17" i="4"/>
  <c r="H17" i="4"/>
  <c r="L17" i="4" s="1"/>
  <c r="P17" i="4" s="1"/>
  <c r="K16" i="4"/>
  <c r="J16" i="4"/>
  <c r="M16" i="4" s="1"/>
  <c r="Q16" i="4" s="1"/>
  <c r="I16" i="4"/>
  <c r="H16" i="4"/>
  <c r="L16" i="4" s="1"/>
  <c r="P16" i="4" s="1"/>
  <c r="X16" i="4" s="1"/>
  <c r="AC16" i="4" s="1"/>
  <c r="K15" i="4"/>
  <c r="J15" i="4"/>
  <c r="M15" i="4" s="1"/>
  <c r="Q15" i="4" s="1"/>
  <c r="I15" i="4"/>
  <c r="H15" i="4"/>
  <c r="L15" i="4" s="1"/>
  <c r="P15" i="4" s="1"/>
  <c r="X15" i="4" s="1"/>
  <c r="AC15" i="4" s="1"/>
  <c r="K14" i="4"/>
  <c r="J14" i="4"/>
  <c r="M14" i="4" s="1"/>
  <c r="Q14" i="4" s="1"/>
  <c r="I14" i="4"/>
  <c r="H14" i="4"/>
  <c r="L14" i="4" s="1"/>
  <c r="P14" i="4" s="1"/>
  <c r="X14" i="4" s="1"/>
  <c r="AC14" i="4" s="1"/>
  <c r="K13" i="4"/>
  <c r="J13" i="4"/>
  <c r="M13" i="4" s="1"/>
  <c r="Q13" i="4" s="1"/>
  <c r="I13" i="4"/>
  <c r="H13" i="4"/>
  <c r="L13" i="4" s="1"/>
  <c r="P13" i="4" s="1"/>
  <c r="X13" i="4" s="1"/>
  <c r="AC13" i="4" s="1"/>
  <c r="K12" i="4"/>
  <c r="J12" i="4"/>
  <c r="M12" i="4" s="1"/>
  <c r="Q12" i="4" s="1"/>
  <c r="I12" i="4"/>
  <c r="H12" i="4"/>
  <c r="L12" i="4" s="1"/>
  <c r="P12" i="4" s="1"/>
  <c r="X12" i="4" s="1"/>
  <c r="AC12" i="4" s="1"/>
  <c r="K11" i="4"/>
  <c r="J11" i="4"/>
  <c r="M11" i="4" s="1"/>
  <c r="Q11" i="4" s="1"/>
  <c r="I11" i="4"/>
  <c r="H11" i="4"/>
  <c r="L11" i="4" s="1"/>
  <c r="P11" i="4" s="1"/>
  <c r="X11" i="4" s="1"/>
  <c r="AC11" i="4" s="1"/>
  <c r="K10" i="4"/>
  <c r="J10" i="4"/>
  <c r="M10" i="4" s="1"/>
  <c r="I10" i="4"/>
  <c r="H10" i="4"/>
  <c r="H8" i="4" s="1"/>
  <c r="Z9" i="4"/>
  <c r="Y9" i="4"/>
  <c r="W9" i="4"/>
  <c r="V9" i="4"/>
  <c r="U9" i="4"/>
  <c r="T9" i="4"/>
  <c r="S9" i="4"/>
  <c r="R9" i="4"/>
  <c r="K9" i="4"/>
  <c r="I9" i="4"/>
  <c r="H9" i="4"/>
  <c r="G9" i="4"/>
  <c r="F9" i="4"/>
  <c r="E9" i="4"/>
  <c r="D9" i="4"/>
  <c r="AA8" i="4"/>
  <c r="Y8" i="4"/>
  <c r="W8" i="4"/>
  <c r="V8" i="4"/>
  <c r="U8" i="4"/>
  <c r="T8" i="4"/>
  <c r="S8" i="4"/>
  <c r="R8" i="4"/>
  <c r="I8" i="4"/>
  <c r="G8" i="4"/>
  <c r="F8" i="4"/>
  <c r="E8" i="4"/>
  <c r="D8" i="4"/>
  <c r="J16" i="3"/>
  <c r="N16" i="3" s="1"/>
  <c r="G16" i="3"/>
  <c r="K16" i="3" s="1"/>
  <c r="O16" i="3" s="1"/>
  <c r="E16" i="3"/>
  <c r="K15" i="3"/>
  <c r="G15" i="3"/>
  <c r="E15" i="3"/>
  <c r="J15" i="3" s="1"/>
  <c r="J14" i="3"/>
  <c r="N14" i="3" s="1"/>
  <c r="G14" i="3"/>
  <c r="K14" i="3" s="1"/>
  <c r="O14" i="3" s="1"/>
  <c r="E14" i="3"/>
  <c r="K13" i="3"/>
  <c r="G13" i="3"/>
  <c r="E13" i="3"/>
  <c r="J13" i="3" s="1"/>
  <c r="J12" i="3"/>
  <c r="N12" i="3" s="1"/>
  <c r="G12" i="3"/>
  <c r="K12" i="3" s="1"/>
  <c r="O12" i="3" s="1"/>
  <c r="E12" i="3"/>
  <c r="K11" i="3"/>
  <c r="G11" i="3"/>
  <c r="E11" i="3"/>
  <c r="J11" i="3" s="1"/>
  <c r="J10" i="3"/>
  <c r="G10" i="3"/>
  <c r="K10" i="3" s="1"/>
  <c r="E10" i="3"/>
  <c r="K8" i="3"/>
  <c r="G8" i="3"/>
  <c r="E8" i="3"/>
  <c r="J8" i="3" s="1"/>
  <c r="M7" i="3"/>
  <c r="L7" i="3"/>
  <c r="F7" i="3"/>
  <c r="E7" i="3"/>
  <c r="D7" i="3"/>
  <c r="Q10" i="4" l="1"/>
  <c r="M8" i="4"/>
  <c r="M9" i="4"/>
  <c r="AD17" i="4"/>
  <c r="X17" i="4"/>
  <c r="AD18" i="4"/>
  <c r="X18" i="4"/>
  <c r="X19" i="4"/>
  <c r="AD19" i="4"/>
  <c r="AD20" i="4"/>
  <c r="X20" i="4"/>
  <c r="AD21" i="4"/>
  <c r="X21" i="4"/>
  <c r="AD22" i="4"/>
  <c r="X22" i="4"/>
  <c r="J8" i="4"/>
  <c r="J9" i="4"/>
  <c r="L10" i="4"/>
  <c r="O8" i="3"/>
  <c r="N8" i="3"/>
  <c r="O10" i="3"/>
  <c r="O7" i="3" s="1"/>
  <c r="K7" i="3"/>
  <c r="O13" i="3"/>
  <c r="N13" i="3"/>
  <c r="N10" i="3"/>
  <c r="O11" i="3"/>
  <c r="N11" i="3"/>
  <c r="O15" i="3"/>
  <c r="N15" i="3"/>
  <c r="G7" i="3"/>
  <c r="J7" i="3"/>
  <c r="AB22" i="4" l="1"/>
  <c r="Z22" i="4" s="1"/>
  <c r="AC22" i="4" s="1"/>
  <c r="AC19" i="4"/>
  <c r="AB19" i="4"/>
  <c r="Z19" i="4" s="1"/>
  <c r="AD8" i="4"/>
  <c r="AB20" i="4"/>
  <c r="Z20" i="4" s="1"/>
  <c r="AC20" i="4" s="1"/>
  <c r="AB18" i="4"/>
  <c r="Z18" i="4" s="1"/>
  <c r="AC18" i="4" s="1"/>
  <c r="L8" i="4"/>
  <c r="P10" i="4"/>
  <c r="L9" i="4"/>
  <c r="AB21" i="4"/>
  <c r="Z21" i="4" s="1"/>
  <c r="AC21" i="4" s="1"/>
  <c r="AB17" i="4"/>
  <c r="Q9" i="4"/>
  <c r="Q8" i="4"/>
  <c r="N7" i="3"/>
  <c r="Z17" i="4" l="1"/>
  <c r="AB8" i="4"/>
  <c r="P9" i="4"/>
  <c r="AD9" i="4" s="1"/>
  <c r="P8" i="4"/>
  <c r="X10" i="4"/>
  <c r="X9" i="4" l="1"/>
  <c r="AB9" i="4" s="1"/>
  <c r="AC10" i="4"/>
  <c r="X8" i="4"/>
  <c r="Z8" i="4"/>
  <c r="AC17" i="4"/>
  <c r="AC9" i="4" l="1"/>
  <c r="AC8" i="4"/>
  <c r="L8" i="2" l="1"/>
  <c r="M8" i="2"/>
  <c r="N8" i="2"/>
  <c r="Q8" i="2"/>
  <c r="P9" i="2"/>
  <c r="Q9" i="2"/>
  <c r="N9" i="2"/>
  <c r="L9" i="2"/>
  <c r="M9" i="2"/>
  <c r="J12" i="2"/>
  <c r="J16" i="2"/>
  <c r="O16" i="2" s="1"/>
  <c r="S16" i="2" s="1"/>
  <c r="G11" i="2"/>
  <c r="G12" i="2"/>
  <c r="G13" i="2"/>
  <c r="K13" i="2" s="1"/>
  <c r="G14" i="2"/>
  <c r="K14" i="2" s="1"/>
  <c r="G15" i="2"/>
  <c r="K15" i="2" s="1"/>
  <c r="G16" i="2"/>
  <c r="K16" i="2" s="1"/>
  <c r="G10" i="2"/>
  <c r="K10" i="2" s="1"/>
  <c r="F9" i="2"/>
  <c r="E11" i="2"/>
  <c r="E12" i="2"/>
  <c r="E13" i="2"/>
  <c r="J13" i="2" s="1"/>
  <c r="O13" i="2" s="1"/>
  <c r="S13" i="2" s="1"/>
  <c r="E14" i="2"/>
  <c r="J14" i="2" s="1"/>
  <c r="O14" i="2" s="1"/>
  <c r="S14" i="2" s="1"/>
  <c r="E15" i="2"/>
  <c r="J15" i="2" s="1"/>
  <c r="O15" i="2" s="1"/>
  <c r="S15" i="2" s="1"/>
  <c r="E16" i="2"/>
  <c r="E10" i="2"/>
  <c r="J10" i="2" s="1"/>
  <c r="F8" i="2"/>
  <c r="D8" i="2"/>
  <c r="D9" i="2"/>
  <c r="G9" i="2" l="1"/>
  <c r="O10" i="2"/>
  <c r="K12" i="2"/>
  <c r="K9" i="2" s="1"/>
  <c r="E9" i="2"/>
  <c r="J11" i="2"/>
  <c r="O11" i="2" s="1"/>
  <c r="S11" i="2" s="1"/>
  <c r="K11" i="2"/>
  <c r="G22" i="2"/>
  <c r="K22" i="2" s="1"/>
  <c r="E22" i="2"/>
  <c r="J22" i="2" s="1"/>
  <c r="G21" i="2"/>
  <c r="K21" i="2" s="1"/>
  <c r="E21" i="2"/>
  <c r="J21" i="2" s="1"/>
  <c r="G20" i="2"/>
  <c r="K20" i="2" s="1"/>
  <c r="E20" i="2"/>
  <c r="J20" i="2" s="1"/>
  <c r="G19" i="2"/>
  <c r="K19" i="2" s="1"/>
  <c r="E19" i="2"/>
  <c r="J19" i="2" s="1"/>
  <c r="G18" i="2"/>
  <c r="K18" i="2" s="1"/>
  <c r="E18" i="2"/>
  <c r="J18" i="2" s="1"/>
  <c r="G17" i="2"/>
  <c r="K17" i="2" s="1"/>
  <c r="E17" i="2"/>
  <c r="J9" i="2" l="1"/>
  <c r="K8" i="2"/>
  <c r="O12" i="2"/>
  <c r="S12" i="2" s="1"/>
  <c r="G8" i="2"/>
  <c r="E8" i="2"/>
  <c r="S10" i="2"/>
  <c r="O22" i="2"/>
  <c r="R22" i="2" s="1"/>
  <c r="P22" i="2" s="1"/>
  <c r="S22" i="2" s="1"/>
  <c r="T18" i="2"/>
  <c r="T22" i="2"/>
  <c r="T19" i="2"/>
  <c r="J17" i="2"/>
  <c r="J8" i="2" s="1"/>
  <c r="O18" i="2"/>
  <c r="O19" i="2"/>
  <c r="T21" i="2"/>
  <c r="O21" i="2"/>
  <c r="T20" i="2"/>
  <c r="O20" i="2"/>
  <c r="O9" i="2" l="1"/>
  <c r="R9" i="2" s="1"/>
  <c r="T9" i="2"/>
  <c r="R19" i="2"/>
  <c r="P19" i="2" s="1"/>
  <c r="S19" i="2" s="1"/>
  <c r="R20" i="2"/>
  <c r="P20" i="2" s="1"/>
  <c r="S20" i="2"/>
  <c r="R18" i="2"/>
  <c r="P18" i="2" s="1"/>
  <c r="S18" i="2" s="1"/>
  <c r="O17" i="2"/>
  <c r="O8" i="2" s="1"/>
  <c r="T17" i="2"/>
  <c r="T8" i="2" s="1"/>
  <c r="R21" i="2"/>
  <c r="P21" i="2" s="1"/>
  <c r="S21" i="2" s="1"/>
  <c r="R17" i="2" l="1"/>
  <c r="P17" i="2" l="1"/>
  <c r="R8" i="2"/>
  <c r="S9" i="2"/>
  <c r="S17" i="2" l="1"/>
  <c r="S8" i="2" s="1"/>
  <c r="P8" i="2"/>
</calcChain>
</file>

<file path=xl/comments1.xml><?xml version="1.0" encoding="utf-8"?>
<comments xmlns="http://schemas.openxmlformats.org/spreadsheetml/2006/main">
  <authors>
    <author/>
  </authors>
  <commentList>
    <comment ref="R9" authorId="0">
      <text>
        <r>
          <rPr>
            <sz val="14"/>
            <rFont val="宋体"/>
            <family val="3"/>
            <charset val="134"/>
          </rPr>
          <t>追加请示见
江教报[2018]60号_x000D_</t>
        </r>
      </text>
    </comment>
  </commentList>
</comments>
</file>

<file path=xl/sharedStrings.xml><?xml version="1.0" encoding="utf-8"?>
<sst xmlns="http://schemas.openxmlformats.org/spreadsheetml/2006/main" count="217" uniqueCount="126">
  <si>
    <t>提前下达2019年广东省地市属中等职业教育国家助学金明细表</t>
  </si>
  <si>
    <t>单位：人、元</t>
  </si>
  <si>
    <t>用款单位编码</t>
  </si>
  <si>
    <t>用款单位名称</t>
  </si>
  <si>
    <t>具体实施单位</t>
  </si>
  <si>
    <t>清算2018年</t>
  </si>
  <si>
    <t>预算2019年</t>
  </si>
  <si>
    <t>改革前省级以上财政分担比例（%）</t>
  </si>
  <si>
    <t>改革后省级以上财政分担比例（%）</t>
  </si>
  <si>
    <t>资金测算过程</t>
  </si>
  <si>
    <t>本次提前下达金额（含清算资金）</t>
  </si>
  <si>
    <t>待年中追加下达资金</t>
  </si>
  <si>
    <t>待以后年度结转使用</t>
  </si>
  <si>
    <t>国家助学金学生人数</t>
  </si>
  <si>
    <t>国家助学金总计
（按2000元标准）</t>
  </si>
  <si>
    <t>清算安排2018年国家助学金</t>
  </si>
  <si>
    <t>预算安排2019年国家助学金</t>
  </si>
  <si>
    <t>部分市县申请追加资金缺口</t>
  </si>
  <si>
    <t>粤财教[2017]441号文
提前下达2018年国家助学金</t>
  </si>
  <si>
    <t>粤财教[2018]190号
已追加国家助学金</t>
  </si>
  <si>
    <t>核定应下达资金</t>
  </si>
  <si>
    <t>合计</t>
  </si>
  <si>
    <t>中央资金</t>
  </si>
  <si>
    <t>省级资金</t>
  </si>
  <si>
    <t>A</t>
  </si>
  <si>
    <t>B</t>
  </si>
  <si>
    <t>C</t>
  </si>
  <si>
    <t>D</t>
  </si>
  <si>
    <t>E=D*2000</t>
  </si>
  <si>
    <t>F</t>
  </si>
  <si>
    <t>G=F*2000</t>
  </si>
  <si>
    <t>H1</t>
  </si>
  <si>
    <t>H2</t>
  </si>
  <si>
    <t>I=E*H1</t>
  </si>
  <si>
    <t>J=G*H2</t>
  </si>
  <si>
    <t>K</t>
  </si>
  <si>
    <t>L</t>
  </si>
  <si>
    <t>M</t>
  </si>
  <si>
    <t>N=I+J+K-L-M&gt;=0</t>
  </si>
  <si>
    <t>O=P+Q</t>
  </si>
  <si>
    <t>P</t>
  </si>
  <si>
    <t>Q</t>
  </si>
  <si>
    <t>R=N-O</t>
  </si>
  <si>
    <t>S=I+J+K-L-M&lt;0</t>
  </si>
  <si>
    <t>江门市</t>
  </si>
  <si>
    <t>江门市本级</t>
  </si>
  <si>
    <t>江门市辖区</t>
  </si>
  <si>
    <t>蓬江区</t>
  </si>
  <si>
    <t>新会区</t>
  </si>
  <si>
    <t>台山市</t>
  </si>
  <si>
    <t>开平市</t>
  </si>
  <si>
    <t>鹤山市</t>
  </si>
  <si>
    <t>恩平市</t>
  </si>
  <si>
    <t>广东省江门中医药学校</t>
  </si>
  <si>
    <t>江门市体育运动学校</t>
    <phoneticPr fontId="9" type="noConversion"/>
  </si>
  <si>
    <t>江门市第一职业高级中学</t>
  </si>
  <si>
    <t>江门市启智学校</t>
  </si>
  <si>
    <t>江门市工贸职业技术学校</t>
  </si>
  <si>
    <t>江门雅图仕职业技术学校</t>
    <phoneticPr fontId="9" type="noConversion"/>
  </si>
  <si>
    <t>江门幼儿师范学校</t>
    <phoneticPr fontId="9" type="noConversion"/>
  </si>
  <si>
    <t>附件1</t>
    <phoneticPr fontId="9" type="noConversion"/>
  </si>
  <si>
    <t>附件3</t>
    <phoneticPr fontId="9" type="noConversion"/>
  </si>
  <si>
    <t>提前下达2019年广东省地市属普通高中教育残疾学生免学费补助资金明细表</t>
  </si>
  <si>
    <t>残疾学生免学费人数</t>
  </si>
  <si>
    <t>残疾学生免学费资金合计
（按3850元标准）</t>
  </si>
  <si>
    <t>清算安排2018年残疾学生免学费资金</t>
  </si>
  <si>
    <t>预算安排2019年残疾学生免学费资金</t>
  </si>
  <si>
    <t xml:space="preserve">粤财教[2017]442号
提前下达残疾学生免学费预算资金
</t>
  </si>
  <si>
    <t xml:space="preserve">粤财教[2017]442号
待结转使用资金
</t>
  </si>
  <si>
    <t>C=B*3850</t>
  </si>
  <si>
    <t>E=D*3850</t>
  </si>
  <si>
    <t>F1</t>
  </si>
  <si>
    <t>F2</t>
  </si>
  <si>
    <t>G=C*F1</t>
  </si>
  <si>
    <t>H=E*F2</t>
  </si>
  <si>
    <t>I</t>
  </si>
  <si>
    <t>J</t>
  </si>
  <si>
    <t>K=G+H-I-J&gt;=0</t>
  </si>
  <si>
    <t>L=G+H-I-J&lt;0</t>
  </si>
  <si>
    <t>江门市培英高级中学</t>
    <phoneticPr fontId="9" type="noConversion"/>
  </si>
  <si>
    <t>江海区</t>
  </si>
  <si>
    <t>附件2</t>
    <phoneticPr fontId="9" type="noConversion"/>
  </si>
  <si>
    <t>提前下达2019年广东省地市属中等职业教育免学费补助资金</t>
  </si>
  <si>
    <t>2018年春季学期免学费人数</t>
  </si>
  <si>
    <t>2018年秋季学期免学费人数</t>
  </si>
  <si>
    <t>2018年春季学期免学费资金</t>
  </si>
  <si>
    <t>2018年秋季学期免学费资金</t>
  </si>
  <si>
    <t>清算安排2018年免学费总资金</t>
  </si>
  <si>
    <t>预算安排2019年免学费总资金</t>
  </si>
  <si>
    <t>粤财教[2018]308号
已下达2019年资金</t>
  </si>
  <si>
    <t>本次提前下达资金（含清算资金）</t>
  </si>
  <si>
    <t>普通学生</t>
  </si>
  <si>
    <t>残疾学生</t>
  </si>
  <si>
    <t>清算安排2018年免学费资金</t>
  </si>
  <si>
    <t>预算安排2019年免学费资金</t>
  </si>
  <si>
    <t>粤财教[2017]442号
提前下达2018年免学费预算资金</t>
  </si>
  <si>
    <t>粤财教[2017]442号
待结转使用资金</t>
  </si>
  <si>
    <t>粤财教[2018]190号
已追加免学费预算资金</t>
  </si>
  <si>
    <t>小计</t>
  </si>
  <si>
    <t>E</t>
  </si>
  <si>
    <t>G</t>
  </si>
  <si>
    <t>H=D*3500/2</t>
  </si>
  <si>
    <t>I=E*3850/2</t>
  </si>
  <si>
    <t>J=F*3500/2</t>
  </si>
  <si>
    <t>K=G*3850/2</t>
  </si>
  <si>
    <t>L=H+I+J+K</t>
  </si>
  <si>
    <t>M=(J+K)*2</t>
  </si>
  <si>
    <t>N1</t>
  </si>
  <si>
    <t>N2</t>
  </si>
  <si>
    <t>O=L*N1</t>
  </si>
  <si>
    <t>P=M*N2</t>
  </si>
  <si>
    <t>R</t>
  </si>
  <si>
    <t>S</t>
  </si>
  <si>
    <t>T</t>
  </si>
  <si>
    <t>U</t>
  </si>
  <si>
    <t>V</t>
  </si>
  <si>
    <t>W=O+P+Q-R-S-T-U-V&gt;=0</t>
  </si>
  <si>
    <t>X</t>
  </si>
  <si>
    <t>Y=W-X=Y1+Y2</t>
  </si>
  <si>
    <t>Y1</t>
  </si>
  <si>
    <t>Y2</t>
  </si>
  <si>
    <t>Z1=W-X-Y</t>
  </si>
  <si>
    <t>Z2=O+P+Q-R-S-T-U-V&lt;0</t>
  </si>
  <si>
    <t>江门市体育运动学校</t>
    <phoneticPr fontId="9" type="noConversion"/>
  </si>
  <si>
    <t>江门幼儿师范学校</t>
    <phoneticPr fontId="9" type="noConversion"/>
  </si>
  <si>
    <t>江门雅图仕职业技术学校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</si>
</sst>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#,##0.0_ ;[Red]\-#,##0.0\ "/>
    <numFmt numFmtId="177" formatCode="#,##0_ "/>
    <numFmt numFmtId="178" formatCode="#,##0_ ;[Red]\-#,##0\ "/>
    <numFmt numFmtId="179" formatCode="#,##0.00_ ;[Red]\-#,##0.00\ "/>
  </numFmts>
  <fonts count="22" x14ac:knownFonts="1">
    <font>
      <sz val="12"/>
      <name val="宋体"/>
      <charset val="134"/>
    </font>
    <font>
      <sz val="12"/>
      <name val="方正姚体"/>
      <family val="3"/>
      <charset val="134"/>
    </font>
    <font>
      <sz val="12"/>
      <color rgb="FF000000"/>
      <name val="宋体"/>
      <family val="3"/>
      <charset val="134"/>
    </font>
    <font>
      <sz val="16"/>
      <name val="宋体"/>
      <family val="3"/>
      <charset val="134"/>
    </font>
    <font>
      <sz val="26"/>
      <name val="方正小标宋简体"/>
      <family val="4"/>
      <charset val="134"/>
    </font>
    <font>
      <sz val="28"/>
      <name val="方正姚体"/>
      <family val="3"/>
      <charset val="134"/>
    </font>
    <font>
      <sz val="28"/>
      <color rgb="FF000000"/>
      <name val="方正姚体"/>
      <family val="3"/>
      <charset val="134"/>
    </font>
    <font>
      <sz val="12"/>
      <color rgb="FF000000"/>
      <name val="方正姚体"/>
      <family val="3"/>
      <charset val="134"/>
    </font>
    <font>
      <b/>
      <sz val="12"/>
      <color rgb="FF000000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2"/>
      <color indexed="8"/>
      <name val="宋体"/>
      <family val="3"/>
      <charset val="134"/>
    </font>
    <font>
      <b/>
      <sz val="12"/>
      <color rgb="FF000000"/>
      <name val="宋体"/>
      <family val="3"/>
      <charset val="134"/>
    </font>
    <font>
      <b/>
      <sz val="12"/>
      <name val="宋体"/>
      <family val="3"/>
      <charset val="134"/>
    </font>
    <font>
      <sz val="11"/>
      <color rgb="FF000000"/>
      <name val="宋体"/>
      <family val="3"/>
      <charset val="134"/>
    </font>
    <font>
      <sz val="24"/>
      <color rgb="FF000000"/>
      <name val="方正小标宋简体"/>
      <family val="4"/>
      <charset val="134"/>
    </font>
    <font>
      <b/>
      <sz val="14"/>
      <color rgb="FF000000"/>
      <name val="宋体"/>
      <family val="3"/>
      <charset val="134"/>
    </font>
    <font>
      <sz val="14"/>
      <color rgb="FF000000"/>
      <name val="宋体"/>
      <family val="3"/>
      <charset val="134"/>
    </font>
    <font>
      <b/>
      <sz val="22"/>
      <color rgb="FF000000"/>
      <name val="方正姚体"/>
      <family val="3"/>
      <charset val="134"/>
    </font>
    <font>
      <sz val="22"/>
      <color rgb="FF000000"/>
      <name val="方正姚体"/>
      <family val="3"/>
      <charset val="134"/>
    </font>
    <font>
      <b/>
      <sz val="11"/>
      <color rgb="FF000000"/>
      <name val="宋体"/>
      <family val="3"/>
      <charset val="134"/>
    </font>
    <font>
      <sz val="14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DE9D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0" fillId="0" borderId="0">
      <alignment vertical="center"/>
    </xf>
    <xf numFmtId="0" fontId="14" fillId="0" borderId="0">
      <alignment vertical="center"/>
    </xf>
  </cellStyleXfs>
  <cellXfs count="123">
    <xf numFmtId="0" fontId="0" fillId="0" borderId="0" xfId="0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0" fillId="0" borderId="0" xfId="0" applyFill="1" applyAlignment="1">
      <alignment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left" vertical="center"/>
    </xf>
    <xf numFmtId="178" fontId="2" fillId="0" borderId="5" xfId="0" applyNumberFormat="1" applyFont="1" applyFill="1" applyBorder="1" applyAlignment="1">
      <alignment horizontal="left" vertical="center" wrapText="1"/>
    </xf>
    <xf numFmtId="9" fontId="2" fillId="0" borderId="5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right" vertical="center" wrapText="1"/>
    </xf>
    <xf numFmtId="178" fontId="1" fillId="0" borderId="0" xfId="0" applyNumberFormat="1" applyFont="1" applyFill="1" applyAlignment="1">
      <alignment horizontal="right" vertical="center" wrapText="1"/>
    </xf>
    <xf numFmtId="178" fontId="0" fillId="0" borderId="0" xfId="0" applyNumberFormat="1" applyFill="1" applyAlignment="1">
      <alignment vertical="center"/>
    </xf>
    <xf numFmtId="177" fontId="1" fillId="0" borderId="5" xfId="0" applyNumberFormat="1" applyFon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178" fontId="8" fillId="0" borderId="5" xfId="0" applyNumberFormat="1" applyFont="1" applyFill="1" applyBorder="1" applyAlignment="1">
      <alignment horizontal="center" vertical="center" wrapText="1"/>
    </xf>
    <xf numFmtId="178" fontId="2" fillId="0" borderId="5" xfId="0" applyNumberFormat="1" applyFont="1" applyFill="1" applyBorder="1" applyAlignment="1">
      <alignment horizontal="right" vertical="center" wrapText="1"/>
    </xf>
    <xf numFmtId="177" fontId="2" fillId="0" borderId="5" xfId="0" applyNumberFormat="1" applyFont="1" applyFill="1" applyBorder="1" applyAlignment="1">
      <alignment horizontal="right" vertical="center" wrapText="1"/>
    </xf>
    <xf numFmtId="176" fontId="11" fillId="0" borderId="5" xfId="1" applyNumberFormat="1" applyFont="1" applyFill="1" applyBorder="1" applyAlignment="1" applyProtection="1">
      <alignment horizontal="left" vertical="center"/>
    </xf>
    <xf numFmtId="0" fontId="12" fillId="0" borderId="5" xfId="0" applyFont="1" applyFill="1" applyBorder="1" applyAlignment="1">
      <alignment horizontal="left" vertical="center"/>
    </xf>
    <xf numFmtId="178" fontId="12" fillId="0" borderId="5" xfId="0" applyNumberFormat="1" applyFont="1" applyFill="1" applyBorder="1" applyAlignment="1">
      <alignment horizontal="left" vertical="center" wrapText="1"/>
    </xf>
    <xf numFmtId="178" fontId="12" fillId="0" borderId="5" xfId="0" applyNumberFormat="1" applyFont="1" applyFill="1" applyBorder="1" applyAlignment="1">
      <alignment horizontal="right" vertical="center" wrapText="1"/>
    </xf>
    <xf numFmtId="9" fontId="12" fillId="0" borderId="5" xfId="0" applyNumberFormat="1" applyFont="1" applyFill="1" applyBorder="1" applyAlignment="1">
      <alignment horizontal="center" vertical="center" wrapText="1"/>
    </xf>
    <xf numFmtId="177" fontId="12" fillId="0" borderId="5" xfId="0" applyNumberFormat="1" applyFont="1" applyFill="1" applyBorder="1" applyAlignment="1">
      <alignment horizontal="right" vertical="center" wrapText="1"/>
    </xf>
    <xf numFmtId="178" fontId="13" fillId="0" borderId="0" xfId="0" applyNumberFormat="1" applyFont="1" applyFill="1" applyAlignment="1">
      <alignment vertical="center"/>
    </xf>
    <xf numFmtId="0" fontId="13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177" fontId="1" fillId="0" borderId="5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2" fillId="0" borderId="0" xfId="2" applyFont="1" applyFill="1" applyAlignment="1">
      <alignment vertical="center"/>
    </xf>
    <xf numFmtId="0" fontId="2" fillId="0" borderId="0" xfId="2" applyFont="1" applyFill="1" applyAlignment="1">
      <alignment vertical="center" wrapText="1"/>
    </xf>
    <xf numFmtId="0" fontId="14" fillId="0" borderId="0" xfId="2" applyFill="1" applyAlignment="1">
      <alignment vertical="center"/>
    </xf>
    <xf numFmtId="178" fontId="14" fillId="0" borderId="0" xfId="2" applyNumberFormat="1" applyFill="1" applyAlignment="1">
      <alignment vertical="center"/>
    </xf>
    <xf numFmtId="0" fontId="15" fillId="0" borderId="0" xfId="2" applyFont="1" applyFill="1" applyAlignment="1">
      <alignment horizontal="center" vertical="center"/>
    </xf>
    <xf numFmtId="176" fontId="7" fillId="0" borderId="0" xfId="2" applyNumberFormat="1" applyFont="1" applyFill="1" applyAlignment="1">
      <alignment vertical="center"/>
    </xf>
    <xf numFmtId="176" fontId="7" fillId="0" borderId="0" xfId="2" applyNumberFormat="1" applyFont="1" applyFill="1" applyAlignment="1">
      <alignment horizontal="right" vertical="center"/>
    </xf>
    <xf numFmtId="0" fontId="7" fillId="0" borderId="5" xfId="2" applyFont="1" applyFill="1" applyBorder="1" applyAlignment="1">
      <alignment horizontal="center" vertical="center" wrapText="1"/>
    </xf>
    <xf numFmtId="0" fontId="7" fillId="0" borderId="2" xfId="2" applyFont="1" applyFill="1" applyBorder="1" applyAlignment="1">
      <alignment horizontal="center" vertical="center" wrapText="1"/>
    </xf>
    <xf numFmtId="0" fontId="7" fillId="0" borderId="3" xfId="2" applyFont="1" applyFill="1" applyBorder="1" applyAlignment="1">
      <alignment horizontal="center" vertical="center" wrapText="1"/>
    </xf>
    <xf numFmtId="0" fontId="7" fillId="0" borderId="4" xfId="2" applyFont="1" applyFill="1" applyBorder="1" applyAlignment="1">
      <alignment horizontal="center" vertical="center" wrapText="1"/>
    </xf>
    <xf numFmtId="0" fontId="7" fillId="0" borderId="5" xfId="2" applyFont="1" applyFill="1" applyBorder="1" applyAlignment="1">
      <alignment horizontal="center" vertical="center"/>
    </xf>
    <xf numFmtId="0" fontId="7" fillId="0" borderId="7" xfId="2" applyFont="1" applyFill="1" applyBorder="1" applyAlignment="1">
      <alignment horizontal="center" vertical="center" wrapText="1"/>
    </xf>
    <xf numFmtId="0" fontId="7" fillId="0" borderId="2" xfId="2" applyFont="1" applyFill="1" applyBorder="1" applyAlignment="1">
      <alignment horizontal="center" vertical="center" wrapText="1"/>
    </xf>
    <xf numFmtId="0" fontId="7" fillId="0" borderId="5" xfId="2" applyFont="1" applyFill="1" applyBorder="1" applyAlignment="1">
      <alignment horizontal="center" vertical="center" wrapText="1"/>
    </xf>
    <xf numFmtId="0" fontId="2" fillId="0" borderId="3" xfId="2" applyFont="1" applyFill="1" applyBorder="1" applyAlignment="1">
      <alignment horizontal="center" vertical="center" wrapText="1"/>
    </xf>
    <xf numFmtId="0" fontId="2" fillId="0" borderId="8" xfId="2" applyFont="1" applyFill="1" applyBorder="1" applyAlignment="1">
      <alignment horizontal="center" vertical="center" wrapText="1"/>
    </xf>
    <xf numFmtId="0" fontId="2" fillId="0" borderId="4" xfId="2" applyFont="1" applyFill="1" applyBorder="1" applyAlignment="1">
      <alignment horizontal="center" vertical="center" wrapText="1"/>
    </xf>
    <xf numFmtId="0" fontId="2" fillId="0" borderId="5" xfId="2" applyFont="1" applyFill="1" applyBorder="1" applyAlignment="1">
      <alignment horizontal="center" vertical="center" wrapText="1"/>
    </xf>
    <xf numFmtId="176" fontId="2" fillId="0" borderId="5" xfId="2" applyNumberFormat="1" applyFont="1" applyFill="1" applyBorder="1" applyAlignment="1">
      <alignment horizontal="center" vertical="center" wrapText="1"/>
    </xf>
    <xf numFmtId="0" fontId="8" fillId="0" borderId="5" xfId="2" applyFont="1" applyFill="1" applyBorder="1" applyAlignment="1">
      <alignment horizontal="center" vertical="center"/>
    </xf>
    <xf numFmtId="176" fontId="8" fillId="0" borderId="5" xfId="2" applyNumberFormat="1" applyFont="1" applyFill="1" applyBorder="1" applyAlignment="1">
      <alignment horizontal="center" vertical="center" wrapText="1"/>
    </xf>
    <xf numFmtId="178" fontId="16" fillId="0" borderId="5" xfId="2" applyNumberFormat="1" applyFont="1" applyFill="1" applyBorder="1" applyAlignment="1">
      <alignment horizontal="center" vertical="center"/>
    </xf>
    <xf numFmtId="9" fontId="17" fillId="0" borderId="5" xfId="2" applyNumberFormat="1" applyFont="1" applyFill="1" applyBorder="1" applyAlignment="1">
      <alignment horizontal="center" vertical="center" wrapText="1"/>
    </xf>
    <xf numFmtId="0" fontId="2" fillId="0" borderId="5" xfId="2" applyFont="1" applyFill="1" applyBorder="1" applyAlignment="1">
      <alignment horizontal="left" vertical="center"/>
    </xf>
    <xf numFmtId="176" fontId="2" fillId="0" borderId="5" xfId="2" applyNumberFormat="1" applyFont="1" applyFill="1" applyBorder="1" applyAlignment="1">
      <alignment horizontal="left" vertical="center" wrapText="1"/>
    </xf>
    <xf numFmtId="0" fontId="17" fillId="0" borderId="5" xfId="2" applyFont="1" applyFill="1" applyBorder="1" applyAlignment="1">
      <alignment vertical="center"/>
    </xf>
    <xf numFmtId="178" fontId="17" fillId="0" borderId="5" xfId="2" applyNumberFormat="1" applyFont="1" applyFill="1" applyBorder="1" applyAlignment="1">
      <alignment horizontal="right" vertical="center"/>
    </xf>
    <xf numFmtId="178" fontId="17" fillId="0" borderId="5" xfId="2" applyNumberFormat="1" applyFont="1" applyFill="1" applyBorder="1" applyAlignment="1">
      <alignment vertical="center"/>
    </xf>
    <xf numFmtId="0" fontId="14" fillId="0" borderId="0" xfId="2" applyFill="1" applyAlignment="1">
      <alignment vertical="center" wrapText="1"/>
    </xf>
    <xf numFmtId="0" fontId="14" fillId="0" borderId="0" xfId="2" applyFont="1" applyAlignment="1">
      <alignment vertical="center"/>
    </xf>
    <xf numFmtId="0" fontId="14" fillId="0" borderId="0" xfId="2" applyAlignment="1">
      <alignment vertical="center"/>
    </xf>
    <xf numFmtId="0" fontId="18" fillId="0" borderId="0" xfId="2" applyFont="1" applyAlignment="1">
      <alignment horizontal="center" vertical="center"/>
    </xf>
    <xf numFmtId="0" fontId="19" fillId="0" borderId="0" xfId="2" applyFont="1" applyAlignment="1">
      <alignment horizontal="center" vertical="center"/>
    </xf>
    <xf numFmtId="176" fontId="7" fillId="0" borderId="0" xfId="2" applyNumberFormat="1" applyFont="1" applyAlignment="1">
      <alignment vertical="center"/>
    </xf>
    <xf numFmtId="179" fontId="7" fillId="0" borderId="0" xfId="2" applyNumberFormat="1" applyFont="1" applyAlignment="1">
      <alignment vertical="center"/>
    </xf>
    <xf numFmtId="178" fontId="14" fillId="0" borderId="0" xfId="2" applyNumberFormat="1" applyAlignment="1">
      <alignment vertical="center"/>
    </xf>
    <xf numFmtId="178" fontId="7" fillId="0" borderId="0" xfId="2" applyNumberFormat="1" applyFont="1" applyAlignment="1">
      <alignment horizontal="right" vertical="center"/>
    </xf>
    <xf numFmtId="176" fontId="7" fillId="0" borderId="0" xfId="2" applyNumberFormat="1" applyFont="1" applyAlignment="1">
      <alignment horizontal="right" vertical="center"/>
    </xf>
    <xf numFmtId="0" fontId="7" fillId="0" borderId="9" xfId="2" applyFont="1" applyBorder="1" applyAlignment="1">
      <alignment horizontal="center" vertical="center" wrapText="1"/>
    </xf>
    <xf numFmtId="0" fontId="7" fillId="0" borderId="5" xfId="2" applyFont="1" applyBorder="1" applyAlignment="1">
      <alignment horizontal="center" vertical="center" wrapText="1"/>
    </xf>
    <xf numFmtId="0" fontId="7" fillId="0" borderId="2" xfId="2" applyFont="1" applyBorder="1" applyAlignment="1">
      <alignment horizontal="center" vertical="center" wrapText="1"/>
    </xf>
    <xf numFmtId="0" fontId="7" fillId="0" borderId="5" xfId="2" applyFont="1" applyBorder="1" applyAlignment="1">
      <alignment horizontal="center" vertical="center"/>
    </xf>
    <xf numFmtId="0" fontId="7" fillId="2" borderId="10" xfId="2" applyFont="1" applyFill="1" applyBorder="1" applyAlignment="1">
      <alignment horizontal="center" vertical="center" wrapText="1"/>
    </xf>
    <xf numFmtId="0" fontId="7" fillId="2" borderId="11" xfId="2" applyFont="1" applyFill="1" applyBorder="1" applyAlignment="1">
      <alignment horizontal="center" vertical="center" wrapText="1"/>
    </xf>
    <xf numFmtId="0" fontId="7" fillId="0" borderId="0" xfId="2" applyFont="1" applyAlignment="1">
      <alignment horizontal="center" vertical="center" wrapText="1"/>
    </xf>
    <xf numFmtId="0" fontId="7" fillId="0" borderId="12" xfId="2" applyFont="1" applyBorder="1" applyAlignment="1">
      <alignment horizontal="center" vertical="center" wrapText="1"/>
    </xf>
    <xf numFmtId="0" fontId="7" fillId="0" borderId="6" xfId="2" applyFont="1" applyBorder="1" applyAlignment="1">
      <alignment horizontal="center" vertical="center" wrapText="1"/>
    </xf>
    <xf numFmtId="0" fontId="7" fillId="2" borderId="1" xfId="2" applyFont="1" applyFill="1" applyBorder="1" applyAlignment="1">
      <alignment horizontal="center" vertical="center" wrapText="1"/>
    </xf>
    <xf numFmtId="0" fontId="7" fillId="2" borderId="13" xfId="2" applyFont="1" applyFill="1" applyBorder="1" applyAlignment="1">
      <alignment horizontal="center" vertical="center" wrapText="1"/>
    </xf>
    <xf numFmtId="0" fontId="7" fillId="0" borderId="14" xfId="2" applyFont="1" applyBorder="1" applyAlignment="1">
      <alignment horizontal="center" vertical="center" wrapText="1"/>
    </xf>
    <xf numFmtId="0" fontId="7" fillId="0" borderId="7" xfId="2" applyFont="1" applyBorder="1" applyAlignment="1">
      <alignment horizontal="center" vertical="center" wrapText="1"/>
    </xf>
    <xf numFmtId="0" fontId="7" fillId="0" borderId="5" xfId="2" applyFont="1" applyBorder="1" applyAlignment="1">
      <alignment horizontal="center" vertical="center" wrapText="1"/>
    </xf>
    <xf numFmtId="0" fontId="7" fillId="0" borderId="5" xfId="2" applyFont="1" applyBorder="1" applyAlignment="1">
      <alignment vertical="center" wrapText="1"/>
    </xf>
    <xf numFmtId="0" fontId="7" fillId="2" borderId="4" xfId="2" applyFont="1" applyFill="1" applyBorder="1" applyAlignment="1">
      <alignment horizontal="center" vertical="center" wrapText="1"/>
    </xf>
    <xf numFmtId="0" fontId="7" fillId="2" borderId="5" xfId="2" applyFont="1" applyFill="1" applyBorder="1" applyAlignment="1">
      <alignment horizontal="center" vertical="center" wrapText="1"/>
    </xf>
    <xf numFmtId="0" fontId="2" fillId="0" borderId="5" xfId="2" applyFont="1" applyBorder="1" applyAlignment="1">
      <alignment horizontal="center" vertical="center" wrapText="1"/>
    </xf>
    <xf numFmtId="176" fontId="2" fillId="0" borderId="5" xfId="2" applyNumberFormat="1" applyFont="1" applyBorder="1" applyAlignment="1">
      <alignment horizontal="center" vertical="center" wrapText="1"/>
    </xf>
    <xf numFmtId="176" fontId="2" fillId="2" borderId="5" xfId="2" applyNumberFormat="1" applyFont="1" applyFill="1" applyBorder="1" applyAlignment="1">
      <alignment horizontal="center" vertical="center" wrapText="1"/>
    </xf>
    <xf numFmtId="176" fontId="2" fillId="0" borderId="0" xfId="2" applyNumberFormat="1" applyFont="1" applyAlignment="1">
      <alignment horizontal="center" vertical="center" wrapText="1"/>
    </xf>
    <xf numFmtId="0" fontId="14" fillId="0" borderId="0" xfId="2" applyAlignment="1">
      <alignment horizontal="center" vertical="center"/>
    </xf>
    <xf numFmtId="0" fontId="8" fillId="0" borderId="5" xfId="2" applyFont="1" applyBorder="1" applyAlignment="1">
      <alignment horizontal="center" vertical="center"/>
    </xf>
    <xf numFmtId="176" fontId="8" fillId="0" borderId="5" xfId="2" applyNumberFormat="1" applyFont="1" applyBorder="1" applyAlignment="1">
      <alignment horizontal="center" vertical="center" wrapText="1"/>
    </xf>
    <xf numFmtId="178" fontId="16" fillId="0" borderId="5" xfId="2" applyNumberFormat="1" applyFont="1" applyBorder="1" applyAlignment="1">
      <alignment horizontal="center" vertical="center" wrapText="1"/>
    </xf>
    <xf numFmtId="178" fontId="16" fillId="2" borderId="5" xfId="2" applyNumberFormat="1" applyFont="1" applyFill="1" applyBorder="1" applyAlignment="1">
      <alignment horizontal="center" vertical="center"/>
    </xf>
    <xf numFmtId="178" fontId="16" fillId="0" borderId="0" xfId="2" applyNumberFormat="1" applyFont="1" applyAlignment="1">
      <alignment horizontal="center" vertical="center" wrapText="1"/>
    </xf>
    <xf numFmtId="0" fontId="8" fillId="0" borderId="5" xfId="2" applyFont="1" applyBorder="1" applyAlignment="1">
      <alignment horizontal="left" vertical="center"/>
    </xf>
    <xf numFmtId="176" fontId="8" fillId="0" borderId="5" xfId="2" applyNumberFormat="1" applyFont="1" applyBorder="1" applyAlignment="1">
      <alignment horizontal="left" vertical="center" wrapText="1"/>
    </xf>
    <xf numFmtId="178" fontId="16" fillId="0" borderId="5" xfId="2" applyNumberFormat="1" applyFont="1" applyBorder="1" applyAlignment="1">
      <alignment horizontal="right" vertical="center"/>
    </xf>
    <xf numFmtId="9" fontId="16" fillId="0" borderId="5" xfId="2" applyNumberFormat="1" applyFont="1" applyBorder="1" applyAlignment="1">
      <alignment horizontal="center" vertical="center" wrapText="1"/>
    </xf>
    <xf numFmtId="178" fontId="16" fillId="2" borderId="5" xfId="2" applyNumberFormat="1" applyFont="1" applyFill="1" applyBorder="1" applyAlignment="1">
      <alignment horizontal="right" vertical="center"/>
    </xf>
    <xf numFmtId="178" fontId="16" fillId="0" borderId="0" xfId="2" applyNumberFormat="1" applyFont="1" applyAlignment="1">
      <alignment horizontal="right" vertical="center"/>
    </xf>
    <xf numFmtId="0" fontId="20" fillId="0" borderId="0" xfId="2" applyFont="1" applyAlignment="1">
      <alignment vertical="center"/>
    </xf>
    <xf numFmtId="0" fontId="2" fillId="0" borderId="5" xfId="2" applyFont="1" applyBorder="1" applyAlignment="1">
      <alignment horizontal="left" vertical="center"/>
    </xf>
    <xf numFmtId="176" fontId="2" fillId="0" borderId="5" xfId="2" applyNumberFormat="1" applyFont="1" applyBorder="1" applyAlignment="1">
      <alignment horizontal="left" vertical="center" wrapText="1"/>
    </xf>
    <xf numFmtId="178" fontId="17" fillId="0" borderId="5" xfId="2" applyNumberFormat="1" applyFont="1" applyBorder="1" applyAlignment="1">
      <alignment horizontal="right" vertical="center"/>
    </xf>
    <xf numFmtId="9" fontId="17" fillId="0" borderId="5" xfId="2" applyNumberFormat="1" applyFont="1" applyBorder="1" applyAlignment="1">
      <alignment horizontal="center" vertical="center" wrapText="1"/>
    </xf>
    <xf numFmtId="176" fontId="17" fillId="0" borderId="5" xfId="2" applyNumberFormat="1" applyFont="1" applyBorder="1" applyAlignment="1">
      <alignment horizontal="right" vertical="center"/>
    </xf>
    <xf numFmtId="178" fontId="17" fillId="2" borderId="5" xfId="2" applyNumberFormat="1" applyFont="1" applyFill="1" applyBorder="1" applyAlignment="1">
      <alignment horizontal="right" vertical="center"/>
    </xf>
    <xf numFmtId="176" fontId="17" fillId="2" borderId="5" xfId="2" applyNumberFormat="1" applyFont="1" applyFill="1" applyBorder="1" applyAlignment="1">
      <alignment horizontal="right" vertical="center"/>
    </xf>
    <xf numFmtId="178" fontId="17" fillId="0" borderId="0" xfId="2" applyNumberFormat="1" applyFont="1" applyAlignment="1">
      <alignment horizontal="right" vertical="center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2"/>
  <sheetViews>
    <sheetView tabSelected="1" zoomScale="80" zoomScaleNormal="80" workbookViewId="0">
      <selection activeCell="A4" sqref="A4:A6"/>
    </sheetView>
  </sheetViews>
  <sheetFormatPr defaultColWidth="9" defaultRowHeight="14.25" x14ac:dyDescent="0.15"/>
  <cols>
    <col min="1" max="2" width="14.125" style="3" customWidth="1"/>
    <col min="3" max="3" width="26.125" style="3" customWidth="1"/>
    <col min="4" max="7" width="18.625" style="4" customWidth="1"/>
    <col min="8" max="9" width="11.125" style="3" customWidth="1"/>
    <col min="10" max="11" width="18.625" style="3" customWidth="1"/>
    <col min="12" max="12" width="14.125" style="3" customWidth="1"/>
    <col min="13" max="13" width="13.75" style="3" customWidth="1"/>
    <col min="14" max="14" width="13.25" style="3" customWidth="1"/>
    <col min="15" max="20" width="18.625" style="3" customWidth="1"/>
    <col min="21" max="21" width="13" style="3" customWidth="1"/>
    <col min="22" max="16384" width="9" style="3"/>
  </cols>
  <sheetData>
    <row r="1" spans="1:21" ht="20.25" customHeight="1" x14ac:dyDescent="0.15">
      <c r="A1" s="5" t="s">
        <v>60</v>
      </c>
      <c r="B1" s="6"/>
      <c r="C1" s="6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1" ht="80.099999999999994" customHeight="1" x14ac:dyDescent="0.15">
      <c r="A2" s="32" t="s">
        <v>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</row>
    <row r="3" spans="1:21" ht="32.25" customHeight="1" x14ac:dyDescent="0.15">
      <c r="A3" s="7"/>
      <c r="B3" s="8"/>
      <c r="C3" s="8"/>
      <c r="D3" s="9"/>
      <c r="E3" s="7"/>
      <c r="F3" s="7"/>
      <c r="G3" s="7"/>
      <c r="H3" s="7"/>
      <c r="I3" s="15"/>
      <c r="K3" s="16"/>
      <c r="L3" s="16"/>
      <c r="M3" s="17"/>
      <c r="N3" s="17"/>
      <c r="O3" s="18"/>
      <c r="P3" s="18"/>
      <c r="Q3" s="16"/>
      <c r="R3" s="16"/>
      <c r="S3" s="16" t="s">
        <v>1</v>
      </c>
      <c r="T3" s="16"/>
    </row>
    <row r="4" spans="1:21" s="1" customFormat="1" ht="60" customHeight="1" x14ac:dyDescent="0.15">
      <c r="A4" s="33" t="s">
        <v>2</v>
      </c>
      <c r="B4" s="33" t="s">
        <v>3</v>
      </c>
      <c r="C4" s="33" t="s">
        <v>4</v>
      </c>
      <c r="D4" s="36" t="s">
        <v>5</v>
      </c>
      <c r="E4" s="37"/>
      <c r="F4" s="36" t="s">
        <v>6</v>
      </c>
      <c r="G4" s="37"/>
      <c r="H4" s="38" t="s">
        <v>7</v>
      </c>
      <c r="I4" s="38" t="s">
        <v>8</v>
      </c>
      <c r="J4" s="38" t="s">
        <v>9</v>
      </c>
      <c r="K4" s="38"/>
      <c r="L4" s="38"/>
      <c r="M4" s="38"/>
      <c r="N4" s="38"/>
      <c r="O4" s="38"/>
      <c r="P4" s="39" t="s">
        <v>10</v>
      </c>
      <c r="Q4" s="39"/>
      <c r="R4" s="39"/>
      <c r="S4" s="38" t="s">
        <v>11</v>
      </c>
      <c r="T4" s="38" t="s">
        <v>12</v>
      </c>
    </row>
    <row r="5" spans="1:21" s="1" customFormat="1" ht="60" customHeight="1" x14ac:dyDescent="0.15">
      <c r="A5" s="34"/>
      <c r="B5" s="34"/>
      <c r="C5" s="34"/>
      <c r="D5" s="40" t="s">
        <v>13</v>
      </c>
      <c r="E5" s="40" t="s">
        <v>14</v>
      </c>
      <c r="F5" s="40" t="s">
        <v>13</v>
      </c>
      <c r="G5" s="40" t="s">
        <v>14</v>
      </c>
      <c r="H5" s="38"/>
      <c r="I5" s="38"/>
      <c r="J5" s="38" t="s">
        <v>15</v>
      </c>
      <c r="K5" s="38" t="s">
        <v>16</v>
      </c>
      <c r="L5" s="38" t="s">
        <v>17</v>
      </c>
      <c r="M5" s="38" t="s">
        <v>18</v>
      </c>
      <c r="N5" s="38" t="s">
        <v>19</v>
      </c>
      <c r="O5" s="39" t="s">
        <v>20</v>
      </c>
      <c r="P5" s="39"/>
      <c r="Q5" s="39"/>
      <c r="R5" s="39"/>
      <c r="S5" s="38"/>
      <c r="T5" s="38"/>
    </row>
    <row r="6" spans="1:21" s="1" customFormat="1" ht="60" customHeight="1" x14ac:dyDescent="0.15">
      <c r="A6" s="35"/>
      <c r="B6" s="35"/>
      <c r="C6" s="35"/>
      <c r="D6" s="41"/>
      <c r="E6" s="41"/>
      <c r="F6" s="41"/>
      <c r="G6" s="41"/>
      <c r="H6" s="38"/>
      <c r="I6" s="38"/>
      <c r="J6" s="38"/>
      <c r="K6" s="38"/>
      <c r="L6" s="38"/>
      <c r="M6" s="38"/>
      <c r="N6" s="38"/>
      <c r="O6" s="39"/>
      <c r="P6" s="19" t="s">
        <v>21</v>
      </c>
      <c r="Q6" s="19" t="s">
        <v>22</v>
      </c>
      <c r="R6" s="19" t="s">
        <v>23</v>
      </c>
      <c r="S6" s="38"/>
      <c r="T6" s="38"/>
    </row>
    <row r="7" spans="1:21" s="2" customFormat="1" ht="60" customHeight="1" x14ac:dyDescent="0.15">
      <c r="A7" s="20" t="s">
        <v>24</v>
      </c>
      <c r="B7" s="20" t="s">
        <v>25</v>
      </c>
      <c r="C7" s="20" t="s">
        <v>26</v>
      </c>
      <c r="D7" s="10" t="s">
        <v>27</v>
      </c>
      <c r="E7" s="20" t="s">
        <v>28</v>
      </c>
      <c r="F7" s="20" t="s">
        <v>29</v>
      </c>
      <c r="G7" s="20" t="s">
        <v>30</v>
      </c>
      <c r="H7" s="20" t="s">
        <v>31</v>
      </c>
      <c r="I7" s="20" t="s">
        <v>32</v>
      </c>
      <c r="J7" s="20" t="s">
        <v>33</v>
      </c>
      <c r="K7" s="20" t="s">
        <v>34</v>
      </c>
      <c r="L7" s="20" t="s">
        <v>35</v>
      </c>
      <c r="M7" s="20" t="s">
        <v>36</v>
      </c>
      <c r="N7" s="20" t="s">
        <v>37</v>
      </c>
      <c r="O7" s="20" t="s">
        <v>38</v>
      </c>
      <c r="P7" s="20" t="s">
        <v>39</v>
      </c>
      <c r="Q7" s="20" t="s">
        <v>40</v>
      </c>
      <c r="R7" s="20" t="s">
        <v>41</v>
      </c>
      <c r="S7" s="20" t="s">
        <v>42</v>
      </c>
      <c r="T7" s="20" t="s">
        <v>43</v>
      </c>
    </row>
    <row r="8" spans="1:21" ht="60" customHeight="1" x14ac:dyDescent="0.15">
      <c r="A8" s="11">
        <v>613</v>
      </c>
      <c r="B8" s="21" t="s">
        <v>44</v>
      </c>
      <c r="C8" s="21" t="s">
        <v>44</v>
      </c>
      <c r="D8" s="21">
        <f>SUM(D10:D22)</f>
        <v>2962</v>
      </c>
      <c r="E8" s="21">
        <f t="shared" ref="E8:G8" si="0">SUM(E10:E22)</f>
        <v>5924000</v>
      </c>
      <c r="F8" s="21">
        <f t="shared" si="0"/>
        <v>4025</v>
      </c>
      <c r="G8" s="21">
        <f t="shared" si="0"/>
        <v>8050000</v>
      </c>
      <c r="H8" s="21"/>
      <c r="I8" s="14"/>
      <c r="J8" s="21">
        <f>SUM(J10:J22)</f>
        <v>1351520</v>
      </c>
      <c r="K8" s="21">
        <f t="shared" ref="K8:T8" si="1">SUM(K10:K22)</f>
        <v>3418800</v>
      </c>
      <c r="L8" s="21">
        <f t="shared" si="1"/>
        <v>0</v>
      </c>
      <c r="M8" s="21">
        <f t="shared" si="1"/>
        <v>1899380</v>
      </c>
      <c r="N8" s="21">
        <f t="shared" si="1"/>
        <v>0</v>
      </c>
      <c r="O8" s="21">
        <f t="shared" si="1"/>
        <v>2870940</v>
      </c>
      <c r="P8" s="21">
        <f t="shared" si="1"/>
        <v>1665100</v>
      </c>
      <c r="Q8" s="21">
        <f t="shared" si="1"/>
        <v>0</v>
      </c>
      <c r="R8" s="21">
        <f t="shared" si="1"/>
        <v>1665100</v>
      </c>
      <c r="S8" s="21">
        <f t="shared" si="1"/>
        <v>1205840</v>
      </c>
      <c r="T8" s="21">
        <f t="shared" si="1"/>
        <v>0</v>
      </c>
    </row>
    <row r="9" spans="1:21" s="31" customFormat="1" ht="60" customHeight="1" x14ac:dyDescent="0.15">
      <c r="A9" s="25">
        <v>613001</v>
      </c>
      <c r="B9" s="26" t="s">
        <v>45</v>
      </c>
      <c r="C9" s="26" t="s">
        <v>46</v>
      </c>
      <c r="D9" s="27">
        <f>SUM(D10:D16)</f>
        <v>1521</v>
      </c>
      <c r="E9" s="27">
        <f>SUM(E10:E16)</f>
        <v>3042000</v>
      </c>
      <c r="F9" s="27">
        <f>SUM(F10:F16)</f>
        <v>1956</v>
      </c>
      <c r="G9" s="27">
        <f>SUM(G10:G16)</f>
        <v>3912000</v>
      </c>
      <c r="H9" s="28">
        <v>0.1</v>
      </c>
      <c r="I9" s="28">
        <v>0.3</v>
      </c>
      <c r="J9" s="27">
        <f>SUM(J10:J16)</f>
        <v>304200</v>
      </c>
      <c r="K9" s="27">
        <f>SUM(K10:K16)</f>
        <v>1173600</v>
      </c>
      <c r="L9" s="27">
        <f t="shared" ref="L9:M9" si="2">SUM(L10:L16)</f>
        <v>0</v>
      </c>
      <c r="M9" s="27">
        <f t="shared" si="2"/>
        <v>458400</v>
      </c>
      <c r="N9" s="27">
        <f t="shared" ref="N9" si="3">SUM(N10:N16)</f>
        <v>0</v>
      </c>
      <c r="O9" s="27">
        <f t="shared" ref="O9" si="4">SUM(O10:O16)</f>
        <v>1019400</v>
      </c>
      <c r="P9" s="27">
        <f>SUM(P10:P16)</f>
        <v>591300</v>
      </c>
      <c r="Q9" s="27">
        <f>SUM(Q10:Q16)</f>
        <v>0</v>
      </c>
      <c r="R9" s="27">
        <f t="shared" ref="R9:R22" si="5">ROUND(O9*0.58,-2)</f>
        <v>591300</v>
      </c>
      <c r="S9" s="27">
        <f t="shared" ref="S9:S22" si="6">O9-P9</f>
        <v>428100</v>
      </c>
      <c r="T9" s="29">
        <f t="shared" ref="T9:T22" si="7">IF(J9+K9+L9-M9-N9&lt;0,-(J9+K9+L9-M9-N9),0)</f>
        <v>0</v>
      </c>
      <c r="U9" s="30"/>
    </row>
    <row r="10" spans="1:21" ht="60" customHeight="1" x14ac:dyDescent="0.15">
      <c r="A10" s="12"/>
      <c r="B10" s="13"/>
      <c r="C10" s="24" t="s">
        <v>53</v>
      </c>
      <c r="D10" s="22">
        <v>542</v>
      </c>
      <c r="E10" s="22">
        <f>SUM(D10*2000)</f>
        <v>1084000</v>
      </c>
      <c r="F10" s="22">
        <v>502</v>
      </c>
      <c r="G10" s="22">
        <f>SUM(F10*2000)</f>
        <v>1004000</v>
      </c>
      <c r="H10" s="14">
        <v>0.1</v>
      </c>
      <c r="I10" s="14">
        <v>0.3</v>
      </c>
      <c r="J10" s="22">
        <f>SUM(E10*0.1)</f>
        <v>108400</v>
      </c>
      <c r="K10" s="22">
        <f>SUM(G10*0.3)</f>
        <v>301200</v>
      </c>
      <c r="L10" s="22"/>
      <c r="M10" s="22">
        <v>150200</v>
      </c>
      <c r="N10" s="22"/>
      <c r="O10" s="22">
        <f>SUM(J10+K10+L10-M10-N10)</f>
        <v>259400</v>
      </c>
      <c r="P10" s="22">
        <v>150500</v>
      </c>
      <c r="Q10" s="22"/>
      <c r="R10" s="22">
        <v>150500</v>
      </c>
      <c r="S10" s="22">
        <f>SUM(O10-P10)</f>
        <v>108900</v>
      </c>
      <c r="T10" s="23"/>
      <c r="U10" s="18"/>
    </row>
    <row r="11" spans="1:21" ht="60" customHeight="1" x14ac:dyDescent="0.15">
      <c r="A11" s="12"/>
      <c r="B11" s="13"/>
      <c r="C11" s="24" t="s">
        <v>54</v>
      </c>
      <c r="D11" s="22">
        <v>5</v>
      </c>
      <c r="E11" s="22">
        <f t="shared" ref="E11:E16" si="8">SUM(D11*2000)</f>
        <v>10000</v>
      </c>
      <c r="F11" s="22">
        <v>12</v>
      </c>
      <c r="G11" s="22">
        <f t="shared" ref="G11:G16" si="9">SUM(F11*2000)</f>
        <v>24000</v>
      </c>
      <c r="H11" s="14">
        <v>0.1</v>
      </c>
      <c r="I11" s="14">
        <v>0.3</v>
      </c>
      <c r="J11" s="22">
        <f t="shared" ref="J11:J16" si="10">SUM(E11*0.1)</f>
        <v>1000</v>
      </c>
      <c r="K11" s="22">
        <f t="shared" ref="K11:K16" si="11">SUM(G11*0.3)</f>
        <v>7200</v>
      </c>
      <c r="L11" s="22"/>
      <c r="M11" s="22">
        <v>2800</v>
      </c>
      <c r="N11" s="22"/>
      <c r="O11" s="22">
        <f t="shared" ref="O11:O16" si="12">SUM(J11+K11+L11-M11-N11)</f>
        <v>5400</v>
      </c>
      <c r="P11" s="22">
        <v>3200</v>
      </c>
      <c r="Q11" s="22"/>
      <c r="R11" s="22">
        <v>3200</v>
      </c>
      <c r="S11" s="22">
        <f t="shared" ref="S11:S16" si="13">SUM(O11-P11)</f>
        <v>2200</v>
      </c>
      <c r="T11" s="23"/>
      <c r="U11" s="18"/>
    </row>
    <row r="12" spans="1:21" ht="60" customHeight="1" x14ac:dyDescent="0.15">
      <c r="A12" s="12"/>
      <c r="B12" s="13"/>
      <c r="C12" s="24" t="s">
        <v>56</v>
      </c>
      <c r="D12" s="22">
        <v>43</v>
      </c>
      <c r="E12" s="22">
        <f t="shared" si="8"/>
        <v>86000</v>
      </c>
      <c r="F12" s="22">
        <v>39</v>
      </c>
      <c r="G12" s="22">
        <f t="shared" si="9"/>
        <v>78000</v>
      </c>
      <c r="H12" s="14">
        <v>0.1</v>
      </c>
      <c r="I12" s="14">
        <v>0.3</v>
      </c>
      <c r="J12" s="22">
        <f t="shared" si="10"/>
        <v>8600</v>
      </c>
      <c r="K12" s="22">
        <f t="shared" si="11"/>
        <v>23400</v>
      </c>
      <c r="L12" s="22"/>
      <c r="M12" s="22">
        <v>8600</v>
      </c>
      <c r="N12" s="22"/>
      <c r="O12" s="22">
        <f t="shared" si="12"/>
        <v>23400</v>
      </c>
      <c r="P12" s="22">
        <v>13600</v>
      </c>
      <c r="Q12" s="22"/>
      <c r="R12" s="22">
        <v>13600</v>
      </c>
      <c r="S12" s="22">
        <f t="shared" si="13"/>
        <v>9800</v>
      </c>
      <c r="T12" s="23"/>
      <c r="U12" s="18"/>
    </row>
    <row r="13" spans="1:21" ht="60" customHeight="1" x14ac:dyDescent="0.15">
      <c r="A13" s="12"/>
      <c r="B13" s="13"/>
      <c r="C13" s="24" t="s">
        <v>57</v>
      </c>
      <c r="D13" s="22">
        <v>210</v>
      </c>
      <c r="E13" s="22">
        <f t="shared" si="8"/>
        <v>420000</v>
      </c>
      <c r="F13" s="22">
        <v>314</v>
      </c>
      <c r="G13" s="22">
        <f t="shared" si="9"/>
        <v>628000</v>
      </c>
      <c r="H13" s="14">
        <v>0.1</v>
      </c>
      <c r="I13" s="14">
        <v>0.3</v>
      </c>
      <c r="J13" s="22">
        <f t="shared" si="10"/>
        <v>42000</v>
      </c>
      <c r="K13" s="22">
        <f t="shared" si="11"/>
        <v>188400</v>
      </c>
      <c r="L13" s="22"/>
      <c r="M13" s="22">
        <v>63800</v>
      </c>
      <c r="N13" s="22"/>
      <c r="O13" s="22">
        <f t="shared" si="12"/>
        <v>166600</v>
      </c>
      <c r="P13" s="22">
        <v>96600</v>
      </c>
      <c r="Q13" s="22"/>
      <c r="R13" s="22">
        <v>96600</v>
      </c>
      <c r="S13" s="22">
        <f t="shared" si="13"/>
        <v>70000</v>
      </c>
      <c r="T13" s="23"/>
      <c r="U13" s="18"/>
    </row>
    <row r="14" spans="1:21" ht="60" customHeight="1" x14ac:dyDescent="0.15">
      <c r="A14" s="12"/>
      <c r="B14" s="13"/>
      <c r="C14" s="24" t="s">
        <v>55</v>
      </c>
      <c r="D14" s="22">
        <v>240</v>
      </c>
      <c r="E14" s="22">
        <f t="shared" si="8"/>
        <v>480000</v>
      </c>
      <c r="F14" s="22">
        <v>543</v>
      </c>
      <c r="G14" s="22">
        <f t="shared" si="9"/>
        <v>1086000</v>
      </c>
      <c r="H14" s="14">
        <v>0.1</v>
      </c>
      <c r="I14" s="14">
        <v>0.3</v>
      </c>
      <c r="J14" s="22">
        <f t="shared" si="10"/>
        <v>48000</v>
      </c>
      <c r="K14" s="22">
        <f t="shared" si="11"/>
        <v>325800</v>
      </c>
      <c r="L14" s="22"/>
      <c r="M14" s="22">
        <v>106000</v>
      </c>
      <c r="N14" s="22"/>
      <c r="O14" s="22">
        <f t="shared" si="12"/>
        <v>267800</v>
      </c>
      <c r="P14" s="22">
        <v>155300</v>
      </c>
      <c r="Q14" s="22"/>
      <c r="R14" s="22">
        <v>155300</v>
      </c>
      <c r="S14" s="22">
        <f t="shared" si="13"/>
        <v>112500</v>
      </c>
      <c r="T14" s="23"/>
      <c r="U14" s="18"/>
    </row>
    <row r="15" spans="1:21" ht="60" customHeight="1" x14ac:dyDescent="0.15">
      <c r="A15" s="12"/>
      <c r="B15" s="13"/>
      <c r="C15" s="24" t="s">
        <v>59</v>
      </c>
      <c r="D15" s="22">
        <v>396</v>
      </c>
      <c r="E15" s="22">
        <f t="shared" si="8"/>
        <v>792000</v>
      </c>
      <c r="F15" s="22">
        <v>418</v>
      </c>
      <c r="G15" s="22">
        <f t="shared" si="9"/>
        <v>836000</v>
      </c>
      <c r="H15" s="14">
        <v>0.1</v>
      </c>
      <c r="I15" s="14">
        <v>0.3</v>
      </c>
      <c r="J15" s="22">
        <f t="shared" si="10"/>
        <v>79200</v>
      </c>
      <c r="K15" s="22">
        <f t="shared" si="11"/>
        <v>250800</v>
      </c>
      <c r="L15" s="22"/>
      <c r="M15" s="22">
        <v>104800</v>
      </c>
      <c r="N15" s="22"/>
      <c r="O15" s="22">
        <f t="shared" si="12"/>
        <v>225200</v>
      </c>
      <c r="P15" s="22">
        <v>130600</v>
      </c>
      <c r="Q15" s="22"/>
      <c r="R15" s="22">
        <v>130600</v>
      </c>
      <c r="S15" s="22">
        <f t="shared" si="13"/>
        <v>94600</v>
      </c>
      <c r="T15" s="23"/>
      <c r="U15" s="18"/>
    </row>
    <row r="16" spans="1:21" ht="60" customHeight="1" x14ac:dyDescent="0.15">
      <c r="A16" s="12"/>
      <c r="B16" s="13"/>
      <c r="C16" s="24" t="s">
        <v>58</v>
      </c>
      <c r="D16" s="22">
        <v>85</v>
      </c>
      <c r="E16" s="22">
        <f t="shared" si="8"/>
        <v>170000</v>
      </c>
      <c r="F16" s="22">
        <v>128</v>
      </c>
      <c r="G16" s="22">
        <f t="shared" si="9"/>
        <v>256000</v>
      </c>
      <c r="H16" s="14">
        <v>0.1</v>
      </c>
      <c r="I16" s="14">
        <v>0.3</v>
      </c>
      <c r="J16" s="22">
        <f t="shared" si="10"/>
        <v>17000</v>
      </c>
      <c r="K16" s="22">
        <f t="shared" si="11"/>
        <v>76800</v>
      </c>
      <c r="L16" s="22"/>
      <c r="M16" s="22">
        <v>22200</v>
      </c>
      <c r="N16" s="22"/>
      <c r="O16" s="22">
        <f t="shared" si="12"/>
        <v>71600</v>
      </c>
      <c r="P16" s="22">
        <v>41500</v>
      </c>
      <c r="Q16" s="22"/>
      <c r="R16" s="22">
        <v>41500</v>
      </c>
      <c r="S16" s="22">
        <f t="shared" si="13"/>
        <v>30100</v>
      </c>
      <c r="T16" s="23"/>
      <c r="U16" s="18"/>
    </row>
    <row r="17" spans="1:20" s="31" customFormat="1" ht="60" customHeight="1" x14ac:dyDescent="0.15">
      <c r="A17" s="25">
        <v>613002</v>
      </c>
      <c r="B17" s="26" t="s">
        <v>47</v>
      </c>
      <c r="C17" s="26" t="s">
        <v>47</v>
      </c>
      <c r="D17" s="27">
        <v>10</v>
      </c>
      <c r="E17" s="27">
        <f t="shared" ref="E17:E22" si="14">D17*2000</f>
        <v>20000</v>
      </c>
      <c r="F17" s="27">
        <v>22</v>
      </c>
      <c r="G17" s="27">
        <f t="shared" ref="G17:G22" si="15">F17*2000</f>
        <v>44000</v>
      </c>
      <c r="H17" s="28">
        <v>0.1</v>
      </c>
      <c r="I17" s="28">
        <v>0.3</v>
      </c>
      <c r="J17" s="27">
        <f t="shared" ref="J17:J22" si="16">E17*H17</f>
        <v>2000</v>
      </c>
      <c r="K17" s="27">
        <f t="shared" ref="K17:K22" si="17">G17*I17</f>
        <v>13200</v>
      </c>
      <c r="L17" s="27"/>
      <c r="M17" s="27">
        <v>5600</v>
      </c>
      <c r="N17" s="27">
        <v>0</v>
      </c>
      <c r="O17" s="27">
        <f t="shared" ref="O17:O22" si="18">IF(J17+K17+L17-M17-N17&lt;0,0,J17+K17+L17-M17-N17)</f>
        <v>9600</v>
      </c>
      <c r="P17" s="27">
        <f t="shared" ref="P17:P22" si="19">Q17+R17</f>
        <v>5600</v>
      </c>
      <c r="Q17" s="27"/>
      <c r="R17" s="27">
        <f t="shared" si="5"/>
        <v>5600</v>
      </c>
      <c r="S17" s="27">
        <f t="shared" si="6"/>
        <v>4000</v>
      </c>
      <c r="T17" s="29">
        <f t="shared" si="7"/>
        <v>0</v>
      </c>
    </row>
    <row r="18" spans="1:20" s="31" customFormat="1" ht="60" customHeight="1" x14ac:dyDescent="0.15">
      <c r="A18" s="25">
        <v>613004</v>
      </c>
      <c r="B18" s="26" t="s">
        <v>48</v>
      </c>
      <c r="C18" s="26" t="s">
        <v>48</v>
      </c>
      <c r="D18" s="27">
        <v>370</v>
      </c>
      <c r="E18" s="27">
        <f t="shared" si="14"/>
        <v>740000</v>
      </c>
      <c r="F18" s="27">
        <v>613</v>
      </c>
      <c r="G18" s="27">
        <f t="shared" si="15"/>
        <v>1226000</v>
      </c>
      <c r="H18" s="28">
        <v>0.1</v>
      </c>
      <c r="I18" s="28">
        <v>0.3</v>
      </c>
      <c r="J18" s="27">
        <f t="shared" si="16"/>
        <v>74000</v>
      </c>
      <c r="K18" s="27">
        <f t="shared" si="17"/>
        <v>367800</v>
      </c>
      <c r="L18" s="27"/>
      <c r="M18" s="27">
        <v>135000</v>
      </c>
      <c r="N18" s="27">
        <v>0</v>
      </c>
      <c r="O18" s="27">
        <f t="shared" si="18"/>
        <v>306800</v>
      </c>
      <c r="P18" s="27">
        <f t="shared" si="19"/>
        <v>177900</v>
      </c>
      <c r="Q18" s="27"/>
      <c r="R18" s="27">
        <f t="shared" si="5"/>
        <v>177900</v>
      </c>
      <c r="S18" s="27">
        <f t="shared" si="6"/>
        <v>128900</v>
      </c>
      <c r="T18" s="29">
        <f t="shared" si="7"/>
        <v>0</v>
      </c>
    </row>
    <row r="19" spans="1:20" s="31" customFormat="1" ht="60" customHeight="1" x14ac:dyDescent="0.15">
      <c r="A19" s="25">
        <v>613005</v>
      </c>
      <c r="B19" s="26" t="s">
        <v>49</v>
      </c>
      <c r="C19" s="26" t="s">
        <v>49</v>
      </c>
      <c r="D19" s="27">
        <v>442</v>
      </c>
      <c r="E19" s="27">
        <f t="shared" si="14"/>
        <v>884000</v>
      </c>
      <c r="F19" s="27">
        <v>479</v>
      </c>
      <c r="G19" s="27">
        <f t="shared" si="15"/>
        <v>958000</v>
      </c>
      <c r="H19" s="28">
        <v>0.49</v>
      </c>
      <c r="I19" s="28">
        <v>0.65</v>
      </c>
      <c r="J19" s="27">
        <f t="shared" si="16"/>
        <v>433160</v>
      </c>
      <c r="K19" s="27">
        <f t="shared" si="17"/>
        <v>622700</v>
      </c>
      <c r="L19" s="27"/>
      <c r="M19" s="27">
        <v>462560</v>
      </c>
      <c r="N19" s="27">
        <v>0</v>
      </c>
      <c r="O19" s="27">
        <f t="shared" si="18"/>
        <v>593300</v>
      </c>
      <c r="P19" s="27">
        <f t="shared" si="19"/>
        <v>344100</v>
      </c>
      <c r="Q19" s="27"/>
      <c r="R19" s="27">
        <f t="shared" si="5"/>
        <v>344100</v>
      </c>
      <c r="S19" s="27">
        <f t="shared" si="6"/>
        <v>249200</v>
      </c>
      <c r="T19" s="29">
        <f t="shared" si="7"/>
        <v>0</v>
      </c>
    </row>
    <row r="20" spans="1:20" s="31" customFormat="1" ht="60" customHeight="1" x14ac:dyDescent="0.15">
      <c r="A20" s="25">
        <v>613006</v>
      </c>
      <c r="B20" s="26" t="s">
        <v>50</v>
      </c>
      <c r="C20" s="26" t="s">
        <v>50</v>
      </c>
      <c r="D20" s="27">
        <v>302</v>
      </c>
      <c r="E20" s="27">
        <f t="shared" si="14"/>
        <v>604000</v>
      </c>
      <c r="F20" s="27">
        <v>495</v>
      </c>
      <c r="G20" s="27">
        <f t="shared" si="15"/>
        <v>990000</v>
      </c>
      <c r="H20" s="28">
        <v>0.49</v>
      </c>
      <c r="I20" s="28">
        <v>0.65</v>
      </c>
      <c r="J20" s="27">
        <f t="shared" si="16"/>
        <v>295960</v>
      </c>
      <c r="K20" s="27">
        <f t="shared" si="17"/>
        <v>643500</v>
      </c>
      <c r="L20" s="27"/>
      <c r="M20" s="27">
        <v>538020</v>
      </c>
      <c r="N20" s="27">
        <v>0</v>
      </c>
      <c r="O20" s="27">
        <f t="shared" si="18"/>
        <v>401440</v>
      </c>
      <c r="P20" s="27">
        <f t="shared" si="19"/>
        <v>232800</v>
      </c>
      <c r="Q20" s="27"/>
      <c r="R20" s="27">
        <f t="shared" si="5"/>
        <v>232800</v>
      </c>
      <c r="S20" s="27">
        <f t="shared" si="6"/>
        <v>168640</v>
      </c>
      <c r="T20" s="29">
        <f t="shared" si="7"/>
        <v>0</v>
      </c>
    </row>
    <row r="21" spans="1:20" s="31" customFormat="1" ht="60" customHeight="1" x14ac:dyDescent="0.15">
      <c r="A21" s="25">
        <v>613007</v>
      </c>
      <c r="B21" s="26" t="s">
        <v>51</v>
      </c>
      <c r="C21" s="26" t="s">
        <v>51</v>
      </c>
      <c r="D21" s="27">
        <v>168</v>
      </c>
      <c r="E21" s="27">
        <f t="shared" si="14"/>
        <v>336000</v>
      </c>
      <c r="F21" s="27">
        <v>270</v>
      </c>
      <c r="G21" s="27">
        <f t="shared" si="15"/>
        <v>540000</v>
      </c>
      <c r="H21" s="28">
        <v>0.1</v>
      </c>
      <c r="I21" s="28">
        <v>0.65</v>
      </c>
      <c r="J21" s="27">
        <f t="shared" si="16"/>
        <v>33600</v>
      </c>
      <c r="K21" s="27">
        <f t="shared" si="17"/>
        <v>351000</v>
      </c>
      <c r="L21" s="27"/>
      <c r="M21" s="27">
        <v>52000</v>
      </c>
      <c r="N21" s="27">
        <v>0</v>
      </c>
      <c r="O21" s="27">
        <f t="shared" si="18"/>
        <v>332600</v>
      </c>
      <c r="P21" s="27">
        <f t="shared" si="19"/>
        <v>192900</v>
      </c>
      <c r="Q21" s="27"/>
      <c r="R21" s="27">
        <f t="shared" si="5"/>
        <v>192900</v>
      </c>
      <c r="S21" s="27">
        <f t="shared" si="6"/>
        <v>139700</v>
      </c>
      <c r="T21" s="29">
        <f t="shared" si="7"/>
        <v>0</v>
      </c>
    </row>
    <row r="22" spans="1:20" s="31" customFormat="1" ht="60" customHeight="1" x14ac:dyDescent="0.15">
      <c r="A22" s="25">
        <v>613008</v>
      </c>
      <c r="B22" s="26" t="s">
        <v>52</v>
      </c>
      <c r="C22" s="26" t="s">
        <v>52</v>
      </c>
      <c r="D22" s="27">
        <v>149</v>
      </c>
      <c r="E22" s="27">
        <f t="shared" si="14"/>
        <v>298000</v>
      </c>
      <c r="F22" s="27">
        <v>190</v>
      </c>
      <c r="G22" s="27">
        <f t="shared" si="15"/>
        <v>380000</v>
      </c>
      <c r="H22" s="28">
        <v>0.7</v>
      </c>
      <c r="I22" s="28">
        <v>0.65</v>
      </c>
      <c r="J22" s="27">
        <f t="shared" si="16"/>
        <v>208600</v>
      </c>
      <c r="K22" s="27">
        <f t="shared" si="17"/>
        <v>247000</v>
      </c>
      <c r="L22" s="27"/>
      <c r="M22" s="27">
        <v>247800</v>
      </c>
      <c r="N22" s="27">
        <v>0</v>
      </c>
      <c r="O22" s="27">
        <f t="shared" si="18"/>
        <v>207800</v>
      </c>
      <c r="P22" s="27">
        <f t="shared" si="19"/>
        <v>120500</v>
      </c>
      <c r="Q22" s="27"/>
      <c r="R22" s="27">
        <f t="shared" si="5"/>
        <v>120500</v>
      </c>
      <c r="S22" s="27">
        <f t="shared" si="6"/>
        <v>87300</v>
      </c>
      <c r="T22" s="29">
        <f t="shared" si="7"/>
        <v>0</v>
      </c>
    </row>
  </sheetData>
  <mergeCells count="22">
    <mergeCell ref="M5:M6"/>
    <mergeCell ref="F5:F6"/>
    <mergeCell ref="G5:G6"/>
    <mergeCell ref="J5:J6"/>
    <mergeCell ref="K5:K6"/>
    <mergeCell ref="L5:L6"/>
    <mergeCell ref="A2:T2"/>
    <mergeCell ref="A4:A6"/>
    <mergeCell ref="B4:B6"/>
    <mergeCell ref="C4:C6"/>
    <mergeCell ref="D4:E4"/>
    <mergeCell ref="F4:G4"/>
    <mergeCell ref="H4:H6"/>
    <mergeCell ref="I4:I6"/>
    <mergeCell ref="J4:O4"/>
    <mergeCell ref="P4:R5"/>
    <mergeCell ref="N5:N6"/>
    <mergeCell ref="O5:O6"/>
    <mergeCell ref="S4:S6"/>
    <mergeCell ref="T4:T6"/>
    <mergeCell ref="D5:D6"/>
    <mergeCell ref="E5:E6"/>
  </mergeCells>
  <phoneticPr fontId="9" type="noConversion"/>
  <printOptions horizontalCentered="1"/>
  <pageMargins left="0.27559055118110237" right="0.27559055118110237" top="0.59055118110236227" bottom="0.59055118110236227" header="0.51181102362204722" footer="0.51181102362204722"/>
  <pageSetup paperSize="9" scale="3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E22"/>
  <sheetViews>
    <sheetView zoomScale="75" zoomScaleNormal="75" workbookViewId="0">
      <selection activeCell="A2" sqref="A2:AD2"/>
    </sheetView>
  </sheetViews>
  <sheetFormatPr defaultColWidth="9" defaultRowHeight="13.5" x14ac:dyDescent="0.15"/>
  <cols>
    <col min="1" max="1" width="10.375" style="73" customWidth="1"/>
    <col min="2" max="2" width="12.25" style="73" customWidth="1"/>
    <col min="3" max="3" width="27" style="73" customWidth="1"/>
    <col min="4" max="6" width="14.625" style="73" customWidth="1"/>
    <col min="7" max="7" width="11.75" style="73" customWidth="1"/>
    <col min="8" max="8" width="22.375" style="73" customWidth="1"/>
    <col min="9" max="9" width="19.25" style="73" customWidth="1"/>
    <col min="10" max="10" width="20.5" style="73" customWidth="1"/>
    <col min="11" max="11" width="18.25" style="73" customWidth="1"/>
    <col min="12" max="13" width="22.375" style="73" customWidth="1"/>
    <col min="14" max="15" width="10.375" style="73" customWidth="1"/>
    <col min="16" max="16" width="18.625" style="73" customWidth="1"/>
    <col min="17" max="17" width="23.625" style="73" customWidth="1"/>
    <col min="18" max="18" width="13.25" style="73" customWidth="1"/>
    <col min="19" max="20" width="22" style="73" customWidth="1"/>
    <col min="21" max="21" width="12.375" style="73" customWidth="1"/>
    <col min="22" max="22" width="11.625" style="73" customWidth="1"/>
    <col min="23" max="23" width="14.625" style="73" customWidth="1"/>
    <col min="24" max="24" width="22.125" style="73" customWidth="1"/>
    <col min="25" max="25" width="14" style="73" customWidth="1"/>
    <col min="26" max="26" width="20.5" style="73" customWidth="1"/>
    <col min="27" max="27" width="13.25" style="73" customWidth="1"/>
    <col min="28" max="28" width="23.75" style="73" customWidth="1"/>
    <col min="29" max="29" width="20.125" style="73" customWidth="1"/>
    <col min="30" max="31" width="18.625" style="73" customWidth="1"/>
    <col min="32" max="16384" width="9" style="73"/>
  </cols>
  <sheetData>
    <row r="1" spans="1:31" ht="20.100000000000001" customHeight="1" x14ac:dyDescent="0.15">
      <c r="A1" s="72" t="s">
        <v>81</v>
      </c>
    </row>
    <row r="2" spans="1:31" ht="99.95" customHeight="1" x14ac:dyDescent="0.15">
      <c r="A2" s="74" t="s">
        <v>82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  <c r="AC2" s="74"/>
      <c r="AD2" s="74"/>
      <c r="AE2" s="75"/>
    </row>
    <row r="3" spans="1:31" ht="21.75" customHeight="1" x14ac:dyDescent="0.15"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  <c r="U3" s="76"/>
      <c r="V3" s="77"/>
      <c r="W3" s="76"/>
      <c r="X3" s="78"/>
      <c r="Y3" s="79"/>
      <c r="Z3" s="79"/>
      <c r="AA3" s="80"/>
      <c r="AB3" s="80" t="s">
        <v>1</v>
      </c>
      <c r="AC3" s="80"/>
      <c r="AD3" s="80"/>
      <c r="AE3" s="80"/>
    </row>
    <row r="4" spans="1:31" ht="80.099999999999994" customHeight="1" x14ac:dyDescent="0.15">
      <c r="A4" s="81" t="s">
        <v>2</v>
      </c>
      <c r="B4" s="81" t="s">
        <v>3</v>
      </c>
      <c r="C4" s="81" t="s">
        <v>4</v>
      </c>
      <c r="D4" s="82" t="s">
        <v>83</v>
      </c>
      <c r="E4" s="82"/>
      <c r="F4" s="82" t="s">
        <v>84</v>
      </c>
      <c r="G4" s="82"/>
      <c r="H4" s="82" t="s">
        <v>85</v>
      </c>
      <c r="I4" s="82"/>
      <c r="J4" s="82" t="s">
        <v>86</v>
      </c>
      <c r="K4" s="82"/>
      <c r="L4" s="83" t="s">
        <v>87</v>
      </c>
      <c r="M4" s="81" t="s">
        <v>88</v>
      </c>
      <c r="N4" s="82" t="s">
        <v>7</v>
      </c>
      <c r="O4" s="82" t="s">
        <v>8</v>
      </c>
      <c r="P4" s="84" t="s">
        <v>9</v>
      </c>
      <c r="Q4" s="84"/>
      <c r="R4" s="84"/>
      <c r="S4" s="84"/>
      <c r="T4" s="84"/>
      <c r="U4" s="84"/>
      <c r="V4" s="84"/>
      <c r="W4" s="84"/>
      <c r="X4" s="84"/>
      <c r="Y4" s="82" t="s">
        <v>89</v>
      </c>
      <c r="Z4" s="85" t="s">
        <v>90</v>
      </c>
      <c r="AA4" s="85"/>
      <c r="AB4" s="86"/>
      <c r="AC4" s="82" t="s">
        <v>11</v>
      </c>
      <c r="AD4" s="83" t="s">
        <v>12</v>
      </c>
      <c r="AE4" s="87"/>
    </row>
    <row r="5" spans="1:31" ht="80.099999999999994" customHeight="1" x14ac:dyDescent="0.15">
      <c r="A5" s="88"/>
      <c r="B5" s="88"/>
      <c r="C5" s="88"/>
      <c r="D5" s="83" t="s">
        <v>91</v>
      </c>
      <c r="E5" s="83" t="s">
        <v>92</v>
      </c>
      <c r="F5" s="83" t="s">
        <v>91</v>
      </c>
      <c r="G5" s="83" t="s">
        <v>92</v>
      </c>
      <c r="H5" s="83" t="s">
        <v>91</v>
      </c>
      <c r="I5" s="83" t="s">
        <v>92</v>
      </c>
      <c r="J5" s="83" t="s">
        <v>91</v>
      </c>
      <c r="K5" s="83" t="s">
        <v>92</v>
      </c>
      <c r="L5" s="89"/>
      <c r="M5" s="88"/>
      <c r="N5" s="82"/>
      <c r="O5" s="82"/>
      <c r="P5" s="82" t="s">
        <v>93</v>
      </c>
      <c r="Q5" s="82" t="s">
        <v>94</v>
      </c>
      <c r="R5" s="82" t="s">
        <v>17</v>
      </c>
      <c r="S5" s="82" t="s">
        <v>95</v>
      </c>
      <c r="T5" s="82"/>
      <c r="U5" s="82" t="s">
        <v>96</v>
      </c>
      <c r="V5" s="82"/>
      <c r="W5" s="82" t="s">
        <v>97</v>
      </c>
      <c r="X5" s="82" t="s">
        <v>20</v>
      </c>
      <c r="Y5" s="82"/>
      <c r="Z5" s="90"/>
      <c r="AA5" s="90"/>
      <c r="AB5" s="91"/>
      <c r="AC5" s="82"/>
      <c r="AD5" s="89"/>
      <c r="AE5" s="87"/>
    </row>
    <row r="6" spans="1:31" ht="80.099999999999994" customHeight="1" x14ac:dyDescent="0.15">
      <c r="A6" s="92"/>
      <c r="B6" s="92"/>
      <c r="C6" s="92"/>
      <c r="D6" s="93"/>
      <c r="E6" s="93"/>
      <c r="F6" s="93"/>
      <c r="G6" s="93"/>
      <c r="H6" s="93"/>
      <c r="I6" s="93"/>
      <c r="J6" s="93"/>
      <c r="K6" s="93"/>
      <c r="L6" s="93"/>
      <c r="M6" s="92"/>
      <c r="N6" s="82"/>
      <c r="O6" s="82"/>
      <c r="P6" s="82"/>
      <c r="Q6" s="82"/>
      <c r="R6" s="82"/>
      <c r="S6" s="94" t="s">
        <v>91</v>
      </c>
      <c r="T6" s="94" t="s">
        <v>92</v>
      </c>
      <c r="U6" s="94" t="s">
        <v>91</v>
      </c>
      <c r="V6" s="94" t="s">
        <v>92</v>
      </c>
      <c r="W6" s="82"/>
      <c r="X6" s="95"/>
      <c r="Y6" s="82"/>
      <c r="Z6" s="96" t="s">
        <v>98</v>
      </c>
      <c r="AA6" s="96" t="s">
        <v>22</v>
      </c>
      <c r="AB6" s="97" t="s">
        <v>23</v>
      </c>
      <c r="AC6" s="82"/>
      <c r="AD6" s="93"/>
      <c r="AE6" s="87"/>
    </row>
    <row r="7" spans="1:31" s="102" customFormat="1" ht="80.099999999999994" customHeight="1" x14ac:dyDescent="0.15">
      <c r="A7" s="98" t="s">
        <v>24</v>
      </c>
      <c r="B7" s="98" t="s">
        <v>25</v>
      </c>
      <c r="C7" s="98" t="s">
        <v>26</v>
      </c>
      <c r="D7" s="98" t="s">
        <v>27</v>
      </c>
      <c r="E7" s="98" t="s">
        <v>99</v>
      </c>
      <c r="F7" s="98" t="s">
        <v>29</v>
      </c>
      <c r="G7" s="98" t="s">
        <v>100</v>
      </c>
      <c r="H7" s="98" t="s">
        <v>101</v>
      </c>
      <c r="I7" s="98" t="s">
        <v>102</v>
      </c>
      <c r="J7" s="98" t="s">
        <v>103</v>
      </c>
      <c r="K7" s="98" t="s">
        <v>104</v>
      </c>
      <c r="L7" s="98" t="s">
        <v>105</v>
      </c>
      <c r="M7" s="99" t="s">
        <v>106</v>
      </c>
      <c r="N7" s="99" t="s">
        <v>107</v>
      </c>
      <c r="O7" s="99" t="s">
        <v>108</v>
      </c>
      <c r="P7" s="99" t="s">
        <v>109</v>
      </c>
      <c r="Q7" s="99" t="s">
        <v>110</v>
      </c>
      <c r="R7" s="99" t="s">
        <v>41</v>
      </c>
      <c r="S7" s="98" t="s">
        <v>111</v>
      </c>
      <c r="T7" s="98" t="s">
        <v>112</v>
      </c>
      <c r="U7" s="99" t="s">
        <v>113</v>
      </c>
      <c r="V7" s="99" t="s">
        <v>114</v>
      </c>
      <c r="W7" s="99" t="s">
        <v>115</v>
      </c>
      <c r="X7" s="99" t="s">
        <v>116</v>
      </c>
      <c r="Y7" s="99" t="s">
        <v>117</v>
      </c>
      <c r="Z7" s="100" t="s">
        <v>118</v>
      </c>
      <c r="AA7" s="100" t="s">
        <v>119</v>
      </c>
      <c r="AB7" s="100" t="s">
        <v>120</v>
      </c>
      <c r="AC7" s="99" t="s">
        <v>121</v>
      </c>
      <c r="AD7" s="99" t="s">
        <v>122</v>
      </c>
      <c r="AE7" s="101"/>
    </row>
    <row r="8" spans="1:31" ht="80.099999999999994" customHeight="1" x14ac:dyDescent="0.15">
      <c r="A8" s="103">
        <v>613</v>
      </c>
      <c r="B8" s="104" t="s">
        <v>44</v>
      </c>
      <c r="C8" s="104" t="s">
        <v>44</v>
      </c>
      <c r="D8" s="105">
        <f>SUM(D10:D22)</f>
        <v>34197</v>
      </c>
      <c r="E8" s="105">
        <f t="shared" ref="E8:M8" si="0">SUM(E10:E22)</f>
        <v>160</v>
      </c>
      <c r="F8" s="105">
        <f t="shared" si="0"/>
        <v>32297</v>
      </c>
      <c r="G8" s="105">
        <f t="shared" si="0"/>
        <v>156</v>
      </c>
      <c r="H8" s="105">
        <f t="shared" si="0"/>
        <v>59844750</v>
      </c>
      <c r="I8" s="105">
        <f t="shared" si="0"/>
        <v>308000</v>
      </c>
      <c r="J8" s="105">
        <f t="shared" si="0"/>
        <v>56519750</v>
      </c>
      <c r="K8" s="105">
        <f t="shared" si="0"/>
        <v>300300</v>
      </c>
      <c r="L8" s="105">
        <f t="shared" si="0"/>
        <v>116972800</v>
      </c>
      <c r="M8" s="105">
        <f t="shared" si="0"/>
        <v>113640100</v>
      </c>
      <c r="N8" s="105"/>
      <c r="O8" s="105"/>
      <c r="P8" s="105">
        <f t="shared" ref="P8:AD8" si="1">SUM(P10:P22)</f>
        <v>26179735.75</v>
      </c>
      <c r="Q8" s="105">
        <f t="shared" si="1"/>
        <v>49208652.5</v>
      </c>
      <c r="R8" s="105">
        <f t="shared" si="1"/>
        <v>264600</v>
      </c>
      <c r="S8" s="105">
        <f t="shared" si="1"/>
        <v>24819970</v>
      </c>
      <c r="T8" s="105">
        <f t="shared" si="1"/>
        <v>178755.5</v>
      </c>
      <c r="U8" s="105">
        <f t="shared" si="1"/>
        <v>0</v>
      </c>
      <c r="V8" s="105">
        <f t="shared" si="1"/>
        <v>385</v>
      </c>
      <c r="W8" s="105">
        <f t="shared" si="1"/>
        <v>0</v>
      </c>
      <c r="X8" s="105">
        <f t="shared" si="1"/>
        <v>50653879</v>
      </c>
      <c r="Y8" s="105">
        <f t="shared" si="1"/>
        <v>0</v>
      </c>
      <c r="Z8" s="106">
        <f t="shared" si="1"/>
        <v>41080200</v>
      </c>
      <c r="AA8" s="106">
        <f t="shared" si="1"/>
        <v>0</v>
      </c>
      <c r="AB8" s="106">
        <f t="shared" si="1"/>
        <v>41080200</v>
      </c>
      <c r="AC8" s="105">
        <f t="shared" si="1"/>
        <v>9573679</v>
      </c>
      <c r="AD8" s="105">
        <f t="shared" si="1"/>
        <v>0</v>
      </c>
      <c r="AE8" s="107"/>
    </row>
    <row r="9" spans="1:31" s="114" customFormat="1" ht="80.099999999999994" customHeight="1" x14ac:dyDescent="0.15">
      <c r="A9" s="108">
        <v>613001</v>
      </c>
      <c r="B9" s="109" t="s">
        <v>45</v>
      </c>
      <c r="C9" s="109" t="s">
        <v>46</v>
      </c>
      <c r="D9" s="110">
        <f t="shared" ref="D9:M9" si="2">SUM(D10:D16)</f>
        <v>16210</v>
      </c>
      <c r="E9" s="110">
        <f t="shared" si="2"/>
        <v>74</v>
      </c>
      <c r="F9" s="110">
        <f t="shared" si="2"/>
        <v>15068</v>
      </c>
      <c r="G9" s="110">
        <f t="shared" si="2"/>
        <v>90</v>
      </c>
      <c r="H9" s="110">
        <f t="shared" si="2"/>
        <v>28367500</v>
      </c>
      <c r="I9" s="110">
        <f t="shared" si="2"/>
        <v>142450</v>
      </c>
      <c r="J9" s="110">
        <f t="shared" si="2"/>
        <v>26369000</v>
      </c>
      <c r="K9" s="110">
        <f t="shared" si="2"/>
        <v>173250</v>
      </c>
      <c r="L9" s="110">
        <f t="shared" si="2"/>
        <v>55052200</v>
      </c>
      <c r="M9" s="110">
        <f t="shared" si="2"/>
        <v>53084500</v>
      </c>
      <c r="N9" s="111">
        <v>0.1</v>
      </c>
      <c r="O9" s="111">
        <v>0.3</v>
      </c>
      <c r="P9" s="110">
        <f>SUM(P10:P16)</f>
        <v>5505220</v>
      </c>
      <c r="Q9" s="110">
        <f>SUM(Q10:Q16)</f>
        <v>15925350</v>
      </c>
      <c r="R9" s="110">
        <f>1512*3500/2*N9</f>
        <v>264600</v>
      </c>
      <c r="S9" s="110">
        <f>SUM(S10:S16)</f>
        <v>5307750</v>
      </c>
      <c r="T9" s="110">
        <f>SUM(T10:T16)</f>
        <v>28105</v>
      </c>
      <c r="U9" s="110">
        <f t="shared" ref="U9:Z9" si="3">SUM(U10:U16)</f>
        <v>0</v>
      </c>
      <c r="V9" s="110">
        <f t="shared" si="3"/>
        <v>0</v>
      </c>
      <c r="W9" s="110">
        <f t="shared" si="3"/>
        <v>0</v>
      </c>
      <c r="X9" s="110">
        <f t="shared" si="3"/>
        <v>16359315</v>
      </c>
      <c r="Y9" s="110">
        <f t="shared" si="3"/>
        <v>0</v>
      </c>
      <c r="Z9" s="112">
        <f t="shared" si="3"/>
        <v>13267400</v>
      </c>
      <c r="AA9" s="112"/>
      <c r="AB9" s="112">
        <f t="shared" ref="AB9:AB22" si="4">ROUND(X9*0.811,-2)</f>
        <v>13267400</v>
      </c>
      <c r="AC9" s="110">
        <f>SUM(AC10:AC16)</f>
        <v>3091915</v>
      </c>
      <c r="AD9" s="110">
        <f t="shared" ref="AD9:AD22" si="5">ROUND(IF(P9+Q9+R9-S9-T9-U9-V9&lt;0,-(P9+Q9+R9-S9-T9-U9-V9),0),0)</f>
        <v>0</v>
      </c>
      <c r="AE9" s="113"/>
    </row>
    <row r="10" spans="1:31" ht="80.099999999999994" customHeight="1" x14ac:dyDescent="0.15">
      <c r="A10" s="115"/>
      <c r="B10" s="116"/>
      <c r="C10" s="24" t="s">
        <v>53</v>
      </c>
      <c r="D10" s="117">
        <v>5078</v>
      </c>
      <c r="E10" s="117">
        <v>8</v>
      </c>
      <c r="F10" s="117">
        <v>3984</v>
      </c>
      <c r="G10" s="117">
        <v>7</v>
      </c>
      <c r="H10" s="117">
        <f>SUM(D10*3500)/2</f>
        <v>8886500</v>
      </c>
      <c r="I10" s="117">
        <f>SUM(E10*3850/2)</f>
        <v>15400</v>
      </c>
      <c r="J10" s="117">
        <f>SUM(F10*3500/2)</f>
        <v>6972000</v>
      </c>
      <c r="K10" s="117">
        <f>SUM(G10*3850/2)</f>
        <v>13475</v>
      </c>
      <c r="L10" s="117">
        <f>SUM(H10:K10)</f>
        <v>15887375</v>
      </c>
      <c r="M10" s="117">
        <f>SUM((J10+K10)*2)</f>
        <v>13970950</v>
      </c>
      <c r="N10" s="118">
        <v>0.1</v>
      </c>
      <c r="O10" s="118">
        <v>0.3</v>
      </c>
      <c r="P10" s="119">
        <f>SUM(L10*N10)</f>
        <v>1588737.5</v>
      </c>
      <c r="Q10" s="119">
        <f>SUM(M10*O10)</f>
        <v>4191285</v>
      </c>
      <c r="R10" s="117"/>
      <c r="S10" s="117">
        <v>1801450</v>
      </c>
      <c r="T10" s="117">
        <v>3080</v>
      </c>
      <c r="U10" s="117"/>
      <c r="V10" s="117"/>
      <c r="W10" s="117"/>
      <c r="X10" s="117">
        <f>SUM(P10+Q10+R10-S10-T10-U10-V10-W10)</f>
        <v>3975492.5</v>
      </c>
      <c r="Y10" s="117"/>
      <c r="Z10" s="120">
        <v>3224123</v>
      </c>
      <c r="AA10" s="121"/>
      <c r="AB10" s="120">
        <v>3224123</v>
      </c>
      <c r="AC10" s="117">
        <f>SUM(X10-Y10-Z10)</f>
        <v>751369.5</v>
      </c>
      <c r="AD10" s="117"/>
      <c r="AE10" s="122"/>
    </row>
    <row r="11" spans="1:31" ht="80.099999999999994" customHeight="1" x14ac:dyDescent="0.15">
      <c r="A11" s="115"/>
      <c r="C11" s="24" t="s">
        <v>123</v>
      </c>
      <c r="D11" s="117">
        <v>113</v>
      </c>
      <c r="E11" s="117">
        <v>0</v>
      </c>
      <c r="F11" s="117">
        <v>124</v>
      </c>
      <c r="G11" s="117">
        <v>0</v>
      </c>
      <c r="H11" s="117">
        <f t="shared" ref="H11:H16" si="6">SUM(D11*3500)/2</f>
        <v>197750</v>
      </c>
      <c r="I11" s="117">
        <f t="shared" ref="I11:I16" si="7">SUM(E11*3850/2)</f>
        <v>0</v>
      </c>
      <c r="J11" s="117">
        <f t="shared" ref="J11:J16" si="8">SUM(F11*3500/2)</f>
        <v>217000</v>
      </c>
      <c r="K11" s="117">
        <f t="shared" ref="K11:K16" si="9">SUM(G11*3850/2)</f>
        <v>0</v>
      </c>
      <c r="L11" s="117">
        <f t="shared" ref="L11:L16" si="10">SUM(H11:K11)</f>
        <v>414750</v>
      </c>
      <c r="M11" s="117">
        <f t="shared" ref="M11:M16" si="11">SUM((J11+K11)*2)</f>
        <v>434000</v>
      </c>
      <c r="N11" s="118">
        <v>0.1</v>
      </c>
      <c r="O11" s="118">
        <v>0.3</v>
      </c>
      <c r="P11" s="119">
        <f t="shared" ref="P11:P16" si="12">SUM(L11*N11)</f>
        <v>41475</v>
      </c>
      <c r="Q11" s="119">
        <f t="shared" ref="Q11:Q16" si="13">SUM(M11*O11)</f>
        <v>130200</v>
      </c>
      <c r="R11" s="117"/>
      <c r="S11" s="117">
        <v>39550</v>
      </c>
      <c r="T11" s="117">
        <v>0</v>
      </c>
      <c r="U11" s="117"/>
      <c r="V11" s="117"/>
      <c r="W11" s="117"/>
      <c r="X11" s="117">
        <f t="shared" ref="X11:X16" si="14">SUM(P11+Q11+R11-S11-T11-U11-V11-W11)</f>
        <v>132125</v>
      </c>
      <c r="Y11" s="117"/>
      <c r="Z11" s="120">
        <v>107152</v>
      </c>
      <c r="AA11" s="121"/>
      <c r="AB11" s="120">
        <v>107152</v>
      </c>
      <c r="AC11" s="117">
        <f t="shared" ref="AC11:AC16" si="15">SUM(X11-Y11-Z11)</f>
        <v>24973</v>
      </c>
      <c r="AD11" s="117"/>
      <c r="AE11" s="122"/>
    </row>
    <row r="12" spans="1:31" ht="80.099999999999994" customHeight="1" x14ac:dyDescent="0.15">
      <c r="A12" s="115"/>
      <c r="B12" s="116"/>
      <c r="C12" s="24" t="s">
        <v>56</v>
      </c>
      <c r="D12" s="117">
        <v>0</v>
      </c>
      <c r="E12" s="117">
        <v>43</v>
      </c>
      <c r="F12" s="117">
        <v>0</v>
      </c>
      <c r="G12" s="117">
        <v>58</v>
      </c>
      <c r="H12" s="117">
        <f t="shared" si="6"/>
        <v>0</v>
      </c>
      <c r="I12" s="117">
        <f t="shared" si="7"/>
        <v>82775</v>
      </c>
      <c r="J12" s="117">
        <f t="shared" si="8"/>
        <v>0</v>
      </c>
      <c r="K12" s="117">
        <f t="shared" si="9"/>
        <v>111650</v>
      </c>
      <c r="L12" s="117">
        <f t="shared" si="10"/>
        <v>194425</v>
      </c>
      <c r="M12" s="117">
        <f t="shared" si="11"/>
        <v>223300</v>
      </c>
      <c r="N12" s="118">
        <v>0.1</v>
      </c>
      <c r="O12" s="118">
        <v>0.3</v>
      </c>
      <c r="P12" s="119">
        <f t="shared" si="12"/>
        <v>19442.5</v>
      </c>
      <c r="Q12" s="119">
        <f t="shared" si="13"/>
        <v>66990</v>
      </c>
      <c r="R12" s="117"/>
      <c r="S12" s="117">
        <v>0</v>
      </c>
      <c r="T12" s="117">
        <v>16555</v>
      </c>
      <c r="U12" s="117"/>
      <c r="V12" s="117"/>
      <c r="W12" s="117"/>
      <c r="X12" s="117">
        <f t="shared" si="14"/>
        <v>69877.5</v>
      </c>
      <c r="Y12" s="117"/>
      <c r="Z12" s="120">
        <v>56670</v>
      </c>
      <c r="AA12" s="121"/>
      <c r="AB12" s="120">
        <v>56670</v>
      </c>
      <c r="AC12" s="117">
        <f t="shared" si="15"/>
        <v>13207.5</v>
      </c>
      <c r="AD12" s="117"/>
      <c r="AE12" s="122"/>
    </row>
    <row r="13" spans="1:31" ht="80.099999999999994" customHeight="1" x14ac:dyDescent="0.15">
      <c r="A13" s="115"/>
      <c r="B13" s="116"/>
      <c r="C13" s="24" t="s">
        <v>57</v>
      </c>
      <c r="D13" s="117">
        <v>1580</v>
      </c>
      <c r="E13" s="117">
        <v>6</v>
      </c>
      <c r="F13" s="117">
        <v>1725</v>
      </c>
      <c r="G13" s="117">
        <v>9</v>
      </c>
      <c r="H13" s="117">
        <f t="shared" si="6"/>
        <v>2765000</v>
      </c>
      <c r="I13" s="117">
        <f t="shared" si="7"/>
        <v>11550</v>
      </c>
      <c r="J13" s="117">
        <f t="shared" si="8"/>
        <v>3018750</v>
      </c>
      <c r="K13" s="117">
        <f t="shared" si="9"/>
        <v>17325</v>
      </c>
      <c r="L13" s="117">
        <f t="shared" si="10"/>
        <v>5812625</v>
      </c>
      <c r="M13" s="117">
        <f t="shared" si="11"/>
        <v>6072150</v>
      </c>
      <c r="N13" s="118">
        <v>0.1</v>
      </c>
      <c r="O13" s="118">
        <v>0.3</v>
      </c>
      <c r="P13" s="119">
        <f t="shared" si="12"/>
        <v>581262.5</v>
      </c>
      <c r="Q13" s="119">
        <f t="shared" si="13"/>
        <v>1821645</v>
      </c>
      <c r="R13" s="117"/>
      <c r="S13" s="117">
        <v>576450</v>
      </c>
      <c r="T13" s="117">
        <v>1540</v>
      </c>
      <c r="U13" s="117"/>
      <c r="V13" s="117"/>
      <c r="W13" s="117"/>
      <c r="X13" s="117">
        <f t="shared" si="14"/>
        <v>1824917.5</v>
      </c>
      <c r="Y13" s="117"/>
      <c r="Z13" s="120">
        <v>1480008</v>
      </c>
      <c r="AA13" s="121"/>
      <c r="AB13" s="120">
        <v>1480008</v>
      </c>
      <c r="AC13" s="117">
        <f t="shared" si="15"/>
        <v>344909.5</v>
      </c>
      <c r="AD13" s="117"/>
      <c r="AE13" s="122"/>
    </row>
    <row r="14" spans="1:31" ht="80.099999999999994" customHeight="1" x14ac:dyDescent="0.15">
      <c r="A14" s="115"/>
      <c r="B14" s="116"/>
      <c r="C14" s="24" t="s">
        <v>55</v>
      </c>
      <c r="D14" s="117">
        <v>3845</v>
      </c>
      <c r="E14" s="117">
        <v>13</v>
      </c>
      <c r="F14" s="117">
        <v>3884</v>
      </c>
      <c r="G14" s="117">
        <v>9</v>
      </c>
      <c r="H14" s="117">
        <f t="shared" si="6"/>
        <v>6728750</v>
      </c>
      <c r="I14" s="117">
        <f t="shared" si="7"/>
        <v>25025</v>
      </c>
      <c r="J14" s="117">
        <f t="shared" si="8"/>
        <v>6797000</v>
      </c>
      <c r="K14" s="117">
        <f t="shared" si="9"/>
        <v>17325</v>
      </c>
      <c r="L14" s="117">
        <f t="shared" si="10"/>
        <v>13568100</v>
      </c>
      <c r="M14" s="117">
        <f t="shared" si="11"/>
        <v>13628650</v>
      </c>
      <c r="N14" s="118">
        <v>0.1</v>
      </c>
      <c r="O14" s="118">
        <v>0.3</v>
      </c>
      <c r="P14" s="119">
        <f t="shared" si="12"/>
        <v>1356810</v>
      </c>
      <c r="Q14" s="119">
        <f t="shared" si="13"/>
        <v>4088595</v>
      </c>
      <c r="R14" s="117"/>
      <c r="S14" s="117">
        <v>1388450</v>
      </c>
      <c r="T14" s="117">
        <v>5390</v>
      </c>
      <c r="U14" s="117"/>
      <c r="V14" s="117"/>
      <c r="W14" s="117"/>
      <c r="X14" s="117">
        <f t="shared" si="14"/>
        <v>4051565</v>
      </c>
      <c r="Y14" s="117"/>
      <c r="Z14" s="120">
        <v>3285819</v>
      </c>
      <c r="AA14" s="121"/>
      <c r="AB14" s="120">
        <v>3285819</v>
      </c>
      <c r="AC14" s="117">
        <f t="shared" si="15"/>
        <v>765746</v>
      </c>
      <c r="AD14" s="117"/>
      <c r="AE14" s="122"/>
    </row>
    <row r="15" spans="1:31" ht="80.099999999999994" customHeight="1" x14ac:dyDescent="0.15">
      <c r="A15" s="115"/>
      <c r="B15" s="116"/>
      <c r="C15" s="24" t="s">
        <v>124</v>
      </c>
      <c r="D15" s="117">
        <v>4782</v>
      </c>
      <c r="E15" s="117">
        <v>0</v>
      </c>
      <c r="F15" s="117">
        <v>4304</v>
      </c>
      <c r="G15" s="117">
        <v>0</v>
      </c>
      <c r="H15" s="117">
        <f t="shared" si="6"/>
        <v>8368500</v>
      </c>
      <c r="I15" s="117">
        <f t="shared" si="7"/>
        <v>0</v>
      </c>
      <c r="J15" s="117">
        <f t="shared" si="8"/>
        <v>7532000</v>
      </c>
      <c r="K15" s="117">
        <f t="shared" si="9"/>
        <v>0</v>
      </c>
      <c r="L15" s="117">
        <f t="shared" si="10"/>
        <v>15900500</v>
      </c>
      <c r="M15" s="117">
        <f t="shared" si="11"/>
        <v>15064000</v>
      </c>
      <c r="N15" s="118">
        <v>0.1</v>
      </c>
      <c r="O15" s="118">
        <v>0.3</v>
      </c>
      <c r="P15" s="119">
        <f t="shared" si="12"/>
        <v>1590050</v>
      </c>
      <c r="Q15" s="119">
        <f t="shared" si="13"/>
        <v>4519200</v>
      </c>
      <c r="R15" s="117">
        <v>264600</v>
      </c>
      <c r="S15" s="117">
        <v>1206450</v>
      </c>
      <c r="T15" s="117">
        <v>0</v>
      </c>
      <c r="U15" s="117"/>
      <c r="V15" s="117"/>
      <c r="W15" s="117"/>
      <c r="X15" s="117">
        <f t="shared" si="14"/>
        <v>5167400</v>
      </c>
      <c r="Y15" s="117"/>
      <c r="Z15" s="120">
        <v>4190761</v>
      </c>
      <c r="AA15" s="121"/>
      <c r="AB15" s="120">
        <v>4190761</v>
      </c>
      <c r="AC15" s="117">
        <f t="shared" si="15"/>
        <v>976639</v>
      </c>
      <c r="AD15" s="117"/>
      <c r="AE15" s="122"/>
    </row>
    <row r="16" spans="1:31" ht="80.099999999999994" customHeight="1" x14ac:dyDescent="0.15">
      <c r="A16" s="115"/>
      <c r="B16" s="116"/>
      <c r="C16" s="24" t="s">
        <v>125</v>
      </c>
      <c r="D16" s="117">
        <v>812</v>
      </c>
      <c r="E16" s="117">
        <v>4</v>
      </c>
      <c r="F16" s="117">
        <v>1047</v>
      </c>
      <c r="G16" s="117">
        <v>7</v>
      </c>
      <c r="H16" s="117">
        <f t="shared" si="6"/>
        <v>1421000</v>
      </c>
      <c r="I16" s="117">
        <f t="shared" si="7"/>
        <v>7700</v>
      </c>
      <c r="J16" s="117">
        <f t="shared" si="8"/>
        <v>1832250</v>
      </c>
      <c r="K16" s="117">
        <f t="shared" si="9"/>
        <v>13475</v>
      </c>
      <c r="L16" s="117">
        <f t="shared" si="10"/>
        <v>3274425</v>
      </c>
      <c r="M16" s="117">
        <f t="shared" si="11"/>
        <v>3691450</v>
      </c>
      <c r="N16" s="118">
        <v>0.1</v>
      </c>
      <c r="O16" s="118">
        <v>0.3</v>
      </c>
      <c r="P16" s="119">
        <f t="shared" si="12"/>
        <v>327442.5</v>
      </c>
      <c r="Q16" s="119">
        <f t="shared" si="13"/>
        <v>1107435</v>
      </c>
      <c r="R16" s="117"/>
      <c r="S16" s="117">
        <v>295400</v>
      </c>
      <c r="T16" s="117">
        <v>1540</v>
      </c>
      <c r="U16" s="117"/>
      <c r="V16" s="117"/>
      <c r="W16" s="117"/>
      <c r="X16" s="117">
        <f t="shared" si="14"/>
        <v>1137937.5</v>
      </c>
      <c r="Y16" s="117"/>
      <c r="Z16" s="120">
        <v>922867</v>
      </c>
      <c r="AA16" s="121"/>
      <c r="AB16" s="120">
        <v>922867</v>
      </c>
      <c r="AC16" s="117">
        <f t="shared" si="15"/>
        <v>215070.5</v>
      </c>
      <c r="AD16" s="117"/>
      <c r="AE16" s="122"/>
    </row>
    <row r="17" spans="1:31" s="114" customFormat="1" ht="80.099999999999994" customHeight="1" x14ac:dyDescent="0.15">
      <c r="A17" s="108">
        <v>613002</v>
      </c>
      <c r="B17" s="109" t="s">
        <v>47</v>
      </c>
      <c r="C17" s="109" t="s">
        <v>47</v>
      </c>
      <c r="D17" s="110">
        <v>320</v>
      </c>
      <c r="E17" s="110">
        <v>0</v>
      </c>
      <c r="F17" s="110">
        <v>272</v>
      </c>
      <c r="G17" s="110">
        <v>0</v>
      </c>
      <c r="H17" s="110">
        <f t="shared" ref="H17:H22" si="16">D17*3500/2</f>
        <v>560000</v>
      </c>
      <c r="I17" s="110">
        <f t="shared" ref="I17:I22" si="17">E17*3850/2</f>
        <v>0</v>
      </c>
      <c r="J17" s="110">
        <f t="shared" ref="J17:J22" si="18">F17*3500/2</f>
        <v>476000</v>
      </c>
      <c r="K17" s="110">
        <f t="shared" ref="K17:K22" si="19">G17*3850/2</f>
        <v>0</v>
      </c>
      <c r="L17" s="110">
        <f t="shared" ref="L17:L22" si="20">H17+I17+J17+K17</f>
        <v>1036000</v>
      </c>
      <c r="M17" s="110">
        <f t="shared" ref="M17:M22" si="21">(J17+K17)*2</f>
        <v>952000</v>
      </c>
      <c r="N17" s="111">
        <v>0.1</v>
      </c>
      <c r="O17" s="111">
        <v>0.3</v>
      </c>
      <c r="P17" s="110">
        <f t="shared" ref="P17:Q22" si="22">L17*N17</f>
        <v>103600</v>
      </c>
      <c r="Q17" s="110">
        <f t="shared" si="22"/>
        <v>285600</v>
      </c>
      <c r="R17" s="110"/>
      <c r="S17" s="110">
        <v>110950</v>
      </c>
      <c r="T17" s="110">
        <v>0</v>
      </c>
      <c r="U17" s="110"/>
      <c r="V17" s="110">
        <v>385</v>
      </c>
      <c r="W17" s="110">
        <v>0</v>
      </c>
      <c r="X17" s="110">
        <f t="shared" ref="X17:X22" si="23">ROUND(IF(P17+Q17+R17-S17-T17-U17-V17&lt;0,0,P17+Q17+R17-S17-T17-U17-V17),0)</f>
        <v>277865</v>
      </c>
      <c r="Y17" s="110"/>
      <c r="Z17" s="112">
        <f t="shared" ref="Z17:Z22" si="24">AA17+AB17</f>
        <v>225300</v>
      </c>
      <c r="AA17" s="112"/>
      <c r="AB17" s="112">
        <f t="shared" si="4"/>
        <v>225300</v>
      </c>
      <c r="AC17" s="110">
        <f t="shared" ref="AC17:AC22" si="25">X17-Y17-Z17</f>
        <v>52565</v>
      </c>
      <c r="AD17" s="110">
        <f t="shared" si="5"/>
        <v>0</v>
      </c>
      <c r="AE17" s="113"/>
    </row>
    <row r="18" spans="1:31" s="114" customFormat="1" ht="80.099999999999994" customHeight="1" x14ac:dyDescent="0.15">
      <c r="A18" s="108">
        <v>613004</v>
      </c>
      <c r="B18" s="109" t="s">
        <v>48</v>
      </c>
      <c r="C18" s="109" t="s">
        <v>48</v>
      </c>
      <c r="D18" s="110">
        <v>5294</v>
      </c>
      <c r="E18" s="110">
        <v>4</v>
      </c>
      <c r="F18" s="110">
        <v>4684</v>
      </c>
      <c r="G18" s="110">
        <v>5</v>
      </c>
      <c r="H18" s="110">
        <f t="shared" si="16"/>
        <v>9264500</v>
      </c>
      <c r="I18" s="110">
        <f t="shared" si="17"/>
        <v>7700</v>
      </c>
      <c r="J18" s="110">
        <f t="shared" si="18"/>
        <v>8197000</v>
      </c>
      <c r="K18" s="110">
        <f t="shared" si="19"/>
        <v>9625</v>
      </c>
      <c r="L18" s="110">
        <f t="shared" si="20"/>
        <v>17478825</v>
      </c>
      <c r="M18" s="110">
        <f t="shared" si="21"/>
        <v>16413250</v>
      </c>
      <c r="N18" s="111">
        <v>0.1</v>
      </c>
      <c r="O18" s="111">
        <v>0.3</v>
      </c>
      <c r="P18" s="110">
        <f t="shared" si="22"/>
        <v>1747882.5</v>
      </c>
      <c r="Q18" s="110">
        <f t="shared" si="22"/>
        <v>4923975</v>
      </c>
      <c r="R18" s="110"/>
      <c r="S18" s="110">
        <v>1201900</v>
      </c>
      <c r="T18" s="110">
        <v>1155</v>
      </c>
      <c r="U18" s="110"/>
      <c r="V18" s="110">
        <v>0</v>
      </c>
      <c r="W18" s="110">
        <v>0</v>
      </c>
      <c r="X18" s="110">
        <f t="shared" si="23"/>
        <v>5468803</v>
      </c>
      <c r="Y18" s="110"/>
      <c r="Z18" s="112">
        <f t="shared" si="24"/>
        <v>4435200</v>
      </c>
      <c r="AA18" s="112"/>
      <c r="AB18" s="112">
        <f t="shared" si="4"/>
        <v>4435200</v>
      </c>
      <c r="AC18" s="110">
        <f t="shared" si="25"/>
        <v>1033603</v>
      </c>
      <c r="AD18" s="110">
        <f t="shared" si="5"/>
        <v>0</v>
      </c>
      <c r="AE18" s="113"/>
    </row>
    <row r="19" spans="1:31" s="114" customFormat="1" ht="80.099999999999994" customHeight="1" x14ac:dyDescent="0.15">
      <c r="A19" s="108">
        <v>613005</v>
      </c>
      <c r="B19" s="109" t="s">
        <v>49</v>
      </c>
      <c r="C19" s="109" t="s">
        <v>49</v>
      </c>
      <c r="D19" s="110">
        <v>4052</v>
      </c>
      <c r="E19" s="110">
        <v>57</v>
      </c>
      <c r="F19" s="110">
        <v>4177</v>
      </c>
      <c r="G19" s="110">
        <v>45</v>
      </c>
      <c r="H19" s="110">
        <f t="shared" si="16"/>
        <v>7091000</v>
      </c>
      <c r="I19" s="110">
        <f t="shared" si="17"/>
        <v>109725</v>
      </c>
      <c r="J19" s="110">
        <f t="shared" si="18"/>
        <v>7309750</v>
      </c>
      <c r="K19" s="110">
        <f t="shared" si="19"/>
        <v>86625</v>
      </c>
      <c r="L19" s="110">
        <f t="shared" si="20"/>
        <v>14597100</v>
      </c>
      <c r="M19" s="110">
        <f t="shared" si="21"/>
        <v>14792750</v>
      </c>
      <c r="N19" s="111">
        <v>0.49</v>
      </c>
      <c r="O19" s="111">
        <v>0.65</v>
      </c>
      <c r="P19" s="110">
        <f t="shared" si="22"/>
        <v>7152579</v>
      </c>
      <c r="Q19" s="110">
        <f t="shared" si="22"/>
        <v>9615287.5</v>
      </c>
      <c r="R19" s="110"/>
      <c r="S19" s="110">
        <v>7290465</v>
      </c>
      <c r="T19" s="110">
        <v>111303.5</v>
      </c>
      <c r="U19" s="110"/>
      <c r="V19" s="110">
        <v>0</v>
      </c>
      <c r="W19" s="110">
        <v>0</v>
      </c>
      <c r="X19" s="110">
        <f t="shared" si="23"/>
        <v>9366098</v>
      </c>
      <c r="Y19" s="110"/>
      <c r="Z19" s="112">
        <f t="shared" si="24"/>
        <v>7595900</v>
      </c>
      <c r="AA19" s="112"/>
      <c r="AB19" s="112">
        <f t="shared" si="4"/>
        <v>7595900</v>
      </c>
      <c r="AC19" s="110">
        <f t="shared" si="25"/>
        <v>1770198</v>
      </c>
      <c r="AD19" s="110">
        <f t="shared" si="5"/>
        <v>0</v>
      </c>
      <c r="AE19" s="113"/>
    </row>
    <row r="20" spans="1:31" s="114" customFormat="1" ht="80.099999999999994" customHeight="1" x14ac:dyDescent="0.15">
      <c r="A20" s="108">
        <v>613006</v>
      </c>
      <c r="B20" s="109" t="s">
        <v>50</v>
      </c>
      <c r="C20" s="109" t="s">
        <v>50</v>
      </c>
      <c r="D20" s="110">
        <v>3992</v>
      </c>
      <c r="E20" s="110">
        <v>12</v>
      </c>
      <c r="F20" s="110">
        <v>3837</v>
      </c>
      <c r="G20" s="110">
        <v>7</v>
      </c>
      <c r="H20" s="110">
        <f t="shared" si="16"/>
        <v>6986000</v>
      </c>
      <c r="I20" s="110">
        <f t="shared" si="17"/>
        <v>23100</v>
      </c>
      <c r="J20" s="110">
        <f t="shared" si="18"/>
        <v>6714750</v>
      </c>
      <c r="K20" s="110">
        <f t="shared" si="19"/>
        <v>13475</v>
      </c>
      <c r="L20" s="110">
        <f t="shared" si="20"/>
        <v>13737325</v>
      </c>
      <c r="M20" s="110">
        <f t="shared" si="21"/>
        <v>13456450</v>
      </c>
      <c r="N20" s="111">
        <v>0.49</v>
      </c>
      <c r="O20" s="111">
        <v>0.65</v>
      </c>
      <c r="P20" s="110">
        <f t="shared" si="22"/>
        <v>6731289.25</v>
      </c>
      <c r="Q20" s="110">
        <f t="shared" si="22"/>
        <v>8746692.5</v>
      </c>
      <c r="R20" s="110"/>
      <c r="S20" s="110">
        <v>7249305</v>
      </c>
      <c r="T20" s="110">
        <v>15092</v>
      </c>
      <c r="U20" s="110"/>
      <c r="V20" s="110">
        <v>0</v>
      </c>
      <c r="W20" s="110">
        <v>0</v>
      </c>
      <c r="X20" s="110">
        <f t="shared" si="23"/>
        <v>8213585</v>
      </c>
      <c r="Y20" s="110"/>
      <c r="Z20" s="112">
        <f t="shared" si="24"/>
        <v>6661200</v>
      </c>
      <c r="AA20" s="112"/>
      <c r="AB20" s="112">
        <f t="shared" si="4"/>
        <v>6661200</v>
      </c>
      <c r="AC20" s="110">
        <f t="shared" si="25"/>
        <v>1552385</v>
      </c>
      <c r="AD20" s="110">
        <f t="shared" si="5"/>
        <v>0</v>
      </c>
      <c r="AE20" s="113"/>
    </row>
    <row r="21" spans="1:31" s="114" customFormat="1" ht="80.099999999999994" customHeight="1" x14ac:dyDescent="0.15">
      <c r="A21" s="108">
        <v>613007</v>
      </c>
      <c r="B21" s="109" t="s">
        <v>51</v>
      </c>
      <c r="C21" s="109" t="s">
        <v>51</v>
      </c>
      <c r="D21" s="110">
        <v>2665</v>
      </c>
      <c r="E21" s="110">
        <v>5</v>
      </c>
      <c r="F21" s="110">
        <v>2672</v>
      </c>
      <c r="G21" s="110">
        <v>1</v>
      </c>
      <c r="H21" s="110">
        <f t="shared" si="16"/>
        <v>4663750</v>
      </c>
      <c r="I21" s="110">
        <f t="shared" si="17"/>
        <v>9625</v>
      </c>
      <c r="J21" s="110">
        <f t="shared" si="18"/>
        <v>4676000</v>
      </c>
      <c r="K21" s="110">
        <f t="shared" si="19"/>
        <v>1925</v>
      </c>
      <c r="L21" s="110">
        <f t="shared" si="20"/>
        <v>9351300</v>
      </c>
      <c r="M21" s="110">
        <f t="shared" si="21"/>
        <v>9355850</v>
      </c>
      <c r="N21" s="111">
        <v>0.1</v>
      </c>
      <c r="O21" s="111">
        <v>0.65</v>
      </c>
      <c r="P21" s="110">
        <f t="shared" si="22"/>
        <v>935130</v>
      </c>
      <c r="Q21" s="110">
        <f t="shared" si="22"/>
        <v>6081302.5</v>
      </c>
      <c r="R21" s="110"/>
      <c r="S21" s="110">
        <v>964600</v>
      </c>
      <c r="T21" s="110">
        <v>1540</v>
      </c>
      <c r="U21" s="110"/>
      <c r="V21" s="110">
        <v>0</v>
      </c>
      <c r="W21" s="110">
        <v>0</v>
      </c>
      <c r="X21" s="110">
        <f t="shared" si="23"/>
        <v>6050293</v>
      </c>
      <c r="Y21" s="110"/>
      <c r="Z21" s="112">
        <f t="shared" si="24"/>
        <v>4906800</v>
      </c>
      <c r="AA21" s="112"/>
      <c r="AB21" s="112">
        <f t="shared" si="4"/>
        <v>4906800</v>
      </c>
      <c r="AC21" s="110">
        <f t="shared" si="25"/>
        <v>1143493</v>
      </c>
      <c r="AD21" s="110">
        <f t="shared" si="5"/>
        <v>0</v>
      </c>
      <c r="AE21" s="113"/>
    </row>
    <row r="22" spans="1:31" s="114" customFormat="1" ht="80.099999999999994" customHeight="1" x14ac:dyDescent="0.15">
      <c r="A22" s="108">
        <v>613008</v>
      </c>
      <c r="B22" s="109" t="s">
        <v>52</v>
      </c>
      <c r="C22" s="109" t="s">
        <v>52</v>
      </c>
      <c r="D22" s="110">
        <v>1664</v>
      </c>
      <c r="E22" s="110">
        <v>8</v>
      </c>
      <c r="F22" s="110">
        <v>1587</v>
      </c>
      <c r="G22" s="110">
        <v>8</v>
      </c>
      <c r="H22" s="110">
        <f t="shared" si="16"/>
        <v>2912000</v>
      </c>
      <c r="I22" s="110">
        <f t="shared" si="17"/>
        <v>15400</v>
      </c>
      <c r="J22" s="110">
        <f t="shared" si="18"/>
        <v>2777250</v>
      </c>
      <c r="K22" s="110">
        <f t="shared" si="19"/>
        <v>15400</v>
      </c>
      <c r="L22" s="110">
        <f t="shared" si="20"/>
        <v>5720050</v>
      </c>
      <c r="M22" s="110">
        <f t="shared" si="21"/>
        <v>5585300</v>
      </c>
      <c r="N22" s="111">
        <v>0.7</v>
      </c>
      <c r="O22" s="111">
        <v>0.65</v>
      </c>
      <c r="P22" s="110">
        <f t="shared" si="22"/>
        <v>4004034.9999999995</v>
      </c>
      <c r="Q22" s="110">
        <f t="shared" si="22"/>
        <v>3630445</v>
      </c>
      <c r="R22" s="110"/>
      <c r="S22" s="110">
        <v>2695000</v>
      </c>
      <c r="T22" s="110">
        <v>21560</v>
      </c>
      <c r="U22" s="110"/>
      <c r="V22" s="110">
        <v>0</v>
      </c>
      <c r="W22" s="110">
        <v>0</v>
      </c>
      <c r="X22" s="110">
        <f t="shared" si="23"/>
        <v>4917920</v>
      </c>
      <c r="Y22" s="110"/>
      <c r="Z22" s="112">
        <f t="shared" si="24"/>
        <v>3988400</v>
      </c>
      <c r="AA22" s="112"/>
      <c r="AB22" s="112">
        <f t="shared" si="4"/>
        <v>3988400</v>
      </c>
      <c r="AC22" s="110">
        <f t="shared" si="25"/>
        <v>929520</v>
      </c>
      <c r="AD22" s="110">
        <f t="shared" si="5"/>
        <v>0</v>
      </c>
      <c r="AE22" s="113"/>
    </row>
  </sheetData>
  <mergeCells count="32">
    <mergeCell ref="W5:W6"/>
    <mergeCell ref="X5:X6"/>
    <mergeCell ref="AD4:AD6"/>
    <mergeCell ref="D5:D6"/>
    <mergeCell ref="E5:E6"/>
    <mergeCell ref="F5:F6"/>
    <mergeCell ref="G5:G6"/>
    <mergeCell ref="H5:H6"/>
    <mergeCell ref="I5:I6"/>
    <mergeCell ref="J5:J6"/>
    <mergeCell ref="K5:K6"/>
    <mergeCell ref="P5:P6"/>
    <mergeCell ref="N4:N6"/>
    <mergeCell ref="O4:O6"/>
    <mergeCell ref="P4:X4"/>
    <mergeCell ref="Y4:Y6"/>
    <mergeCell ref="Z4:AB5"/>
    <mergeCell ref="AC4:AC6"/>
    <mergeCell ref="Q5:Q6"/>
    <mergeCell ref="R5:R6"/>
    <mergeCell ref="S5:T5"/>
    <mergeCell ref="U5:V5"/>
    <mergeCell ref="A2:AD2"/>
    <mergeCell ref="A4:A6"/>
    <mergeCell ref="B4:B6"/>
    <mergeCell ref="C4:C6"/>
    <mergeCell ref="D4:E4"/>
    <mergeCell ref="F4:G4"/>
    <mergeCell ref="H4:I4"/>
    <mergeCell ref="J4:K4"/>
    <mergeCell ref="L4:L6"/>
    <mergeCell ref="M4:M6"/>
  </mergeCells>
  <phoneticPr fontId="9" type="noConversion"/>
  <pageMargins left="7.874015748031496E-2" right="7.874015748031496E-2" top="0.59055118110236227" bottom="0.59055118110236227" header="0.51181102362204722" footer="0.51181102362204722"/>
  <pageSetup paperSize="9" scale="28" fitToHeight="0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0"/>
  <sheetViews>
    <sheetView zoomScale="90" zoomScaleNormal="90" workbookViewId="0">
      <selection activeCell="A4" sqref="A4:C6"/>
    </sheetView>
  </sheetViews>
  <sheetFormatPr defaultColWidth="9" defaultRowHeight="13.5" x14ac:dyDescent="0.15"/>
  <cols>
    <col min="1" max="1" width="11.375" style="44" customWidth="1"/>
    <col min="2" max="2" width="12.625" style="44" customWidth="1"/>
    <col min="3" max="3" width="21.375" style="44" customWidth="1"/>
    <col min="4" max="4" width="14.625" style="44" customWidth="1"/>
    <col min="5" max="7" width="18.625" style="44" customWidth="1"/>
    <col min="8" max="9" width="10.375" style="44" customWidth="1"/>
    <col min="10" max="11" width="18.625" style="44" customWidth="1"/>
    <col min="12" max="13" width="20" style="44" customWidth="1"/>
    <col min="14" max="15" width="18.625" style="44" customWidth="1"/>
    <col min="16" max="16384" width="9" style="44"/>
  </cols>
  <sheetData>
    <row r="1" spans="1:15" ht="21.75" customHeight="1" x14ac:dyDescent="0.15">
      <c r="A1" s="42" t="s">
        <v>61</v>
      </c>
      <c r="B1" s="43"/>
      <c r="C1" s="43"/>
      <c r="O1" s="45"/>
    </row>
    <row r="2" spans="1:15" ht="80.099999999999994" customHeight="1" x14ac:dyDescent="0.15">
      <c r="A2" s="46" t="s">
        <v>62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</row>
    <row r="3" spans="1:15" ht="21.75" customHeight="1" x14ac:dyDescent="0.15"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8" t="s">
        <v>1</v>
      </c>
    </row>
    <row r="4" spans="1:15" ht="50.1" customHeight="1" x14ac:dyDescent="0.15">
      <c r="A4" s="49" t="s">
        <v>2</v>
      </c>
      <c r="B4" s="50" t="s">
        <v>3</v>
      </c>
      <c r="C4" s="50" t="s">
        <v>4</v>
      </c>
      <c r="D4" s="51" t="s">
        <v>5</v>
      </c>
      <c r="E4" s="52"/>
      <c r="F4" s="51" t="s">
        <v>6</v>
      </c>
      <c r="G4" s="52"/>
      <c r="H4" s="50" t="s">
        <v>7</v>
      </c>
      <c r="I4" s="50" t="s">
        <v>8</v>
      </c>
      <c r="J4" s="53" t="s">
        <v>9</v>
      </c>
      <c r="K4" s="53"/>
      <c r="L4" s="53"/>
      <c r="M4" s="53"/>
      <c r="N4" s="49" t="s">
        <v>10</v>
      </c>
      <c r="O4" s="49" t="s">
        <v>12</v>
      </c>
    </row>
    <row r="5" spans="1:15" ht="50.1" customHeight="1" x14ac:dyDescent="0.15">
      <c r="A5" s="49"/>
      <c r="B5" s="54"/>
      <c r="C5" s="54"/>
      <c r="D5" s="55" t="s">
        <v>63</v>
      </c>
      <c r="E5" s="55" t="s">
        <v>64</v>
      </c>
      <c r="F5" s="55" t="s">
        <v>63</v>
      </c>
      <c r="G5" s="55" t="s">
        <v>64</v>
      </c>
      <c r="H5" s="54"/>
      <c r="I5" s="54"/>
      <c r="J5" s="56" t="s">
        <v>65</v>
      </c>
      <c r="K5" s="56" t="s">
        <v>66</v>
      </c>
      <c r="L5" s="56" t="s">
        <v>67</v>
      </c>
      <c r="M5" s="56" t="s">
        <v>68</v>
      </c>
      <c r="N5" s="49"/>
      <c r="O5" s="49"/>
    </row>
    <row r="6" spans="1:15" ht="50.1" customHeight="1" x14ac:dyDescent="0.15">
      <c r="A6" s="57" t="s">
        <v>24</v>
      </c>
      <c r="B6" s="58"/>
      <c r="C6" s="59"/>
      <c r="D6" s="60" t="s">
        <v>25</v>
      </c>
      <c r="E6" s="60" t="s">
        <v>69</v>
      </c>
      <c r="F6" s="60" t="s">
        <v>27</v>
      </c>
      <c r="G6" s="60" t="s">
        <v>70</v>
      </c>
      <c r="H6" s="61" t="s">
        <v>71</v>
      </c>
      <c r="I6" s="61" t="s">
        <v>72</v>
      </c>
      <c r="J6" s="61" t="s">
        <v>73</v>
      </c>
      <c r="K6" s="61" t="s">
        <v>74</v>
      </c>
      <c r="L6" s="60" t="s">
        <v>75</v>
      </c>
      <c r="M6" s="60" t="s">
        <v>76</v>
      </c>
      <c r="N6" s="61" t="s">
        <v>77</v>
      </c>
      <c r="O6" s="61" t="s">
        <v>78</v>
      </c>
    </row>
    <row r="7" spans="1:15" ht="50.1" customHeight="1" x14ac:dyDescent="0.15">
      <c r="A7" s="62">
        <v>613</v>
      </c>
      <c r="B7" s="63" t="s">
        <v>44</v>
      </c>
      <c r="C7" s="63" t="s">
        <v>44</v>
      </c>
      <c r="D7" s="64">
        <f>SUM(D9:D16)</f>
        <v>53</v>
      </c>
      <c r="E7" s="64">
        <f t="shared" ref="E7:G7" si="0">SUM(E9:E16)</f>
        <v>204050</v>
      </c>
      <c r="F7" s="64">
        <f t="shared" si="0"/>
        <v>60</v>
      </c>
      <c r="G7" s="64">
        <f t="shared" si="0"/>
        <v>231000</v>
      </c>
      <c r="H7" s="64"/>
      <c r="I7" s="65"/>
      <c r="J7" s="64">
        <f>SUM(J9:J16)</f>
        <v>67413.5</v>
      </c>
      <c r="K7" s="64">
        <f t="shared" ref="K7:O7" si="1">SUM(K9:K16)</f>
        <v>111072.5</v>
      </c>
      <c r="L7" s="64">
        <f t="shared" si="1"/>
        <v>53399.5</v>
      </c>
      <c r="M7" s="64">
        <f t="shared" si="1"/>
        <v>385</v>
      </c>
      <c r="N7" s="64">
        <f t="shared" si="1"/>
        <v>124703</v>
      </c>
      <c r="O7" s="64">
        <f t="shared" si="1"/>
        <v>0</v>
      </c>
    </row>
    <row r="8" spans="1:15" ht="50.1" customHeight="1" x14ac:dyDescent="0.15">
      <c r="A8" s="66">
        <v>613001</v>
      </c>
      <c r="B8" s="67" t="s">
        <v>45</v>
      </c>
      <c r="C8" s="67" t="s">
        <v>46</v>
      </c>
      <c r="D8" s="68">
        <v>2</v>
      </c>
      <c r="E8" s="68">
        <f t="shared" ref="E8:E16" si="2">D8*3850</f>
        <v>7700</v>
      </c>
      <c r="F8" s="68">
        <v>2</v>
      </c>
      <c r="G8" s="68">
        <f t="shared" ref="G8:G16" si="3">F8*3850</f>
        <v>7700</v>
      </c>
      <c r="H8" s="65">
        <v>0.1</v>
      </c>
      <c r="I8" s="65">
        <v>0.3</v>
      </c>
      <c r="J8" s="68">
        <f t="shared" ref="J8:J16" si="4">E8*H8</f>
        <v>770</v>
      </c>
      <c r="K8" s="68">
        <f t="shared" ref="K8:K16" si="5">G8*I8</f>
        <v>2310</v>
      </c>
      <c r="L8" s="68">
        <v>1540</v>
      </c>
      <c r="M8" s="69"/>
      <c r="N8" s="70">
        <f t="shared" ref="N8:N16" si="6">ROUND(IF(J8+K8-L8-M8&lt;0,0,J8+K8-L8-M8),0)</f>
        <v>1540</v>
      </c>
      <c r="O8" s="70">
        <f t="shared" ref="O8:O16" si="7">ROUND(IF(J8+K8-L8-M8&lt;0,-(J8+K8-L8-M8),0),0)</f>
        <v>0</v>
      </c>
    </row>
    <row r="9" spans="1:15" ht="50.1" customHeight="1" x14ac:dyDescent="0.15">
      <c r="A9" s="66"/>
      <c r="B9" s="67"/>
      <c r="C9" s="61" t="s">
        <v>79</v>
      </c>
      <c r="D9" s="68">
        <v>2</v>
      </c>
      <c r="E9" s="68">
        <v>7700</v>
      </c>
      <c r="F9" s="68">
        <v>2</v>
      </c>
      <c r="G9" s="68">
        <v>7700</v>
      </c>
      <c r="H9" s="65">
        <v>0.1</v>
      </c>
      <c r="I9" s="65">
        <v>0.3</v>
      </c>
      <c r="J9" s="68">
        <v>770</v>
      </c>
      <c r="K9" s="68">
        <v>2310</v>
      </c>
      <c r="L9" s="68">
        <v>1540</v>
      </c>
      <c r="M9" s="69"/>
      <c r="N9" s="70">
        <v>1540</v>
      </c>
      <c r="O9" s="70">
        <v>0</v>
      </c>
    </row>
    <row r="10" spans="1:15" ht="50.1" customHeight="1" x14ac:dyDescent="0.15">
      <c r="A10" s="66">
        <v>613003</v>
      </c>
      <c r="B10" s="67" t="s">
        <v>80</v>
      </c>
      <c r="C10" s="67" t="s">
        <v>80</v>
      </c>
      <c r="D10" s="68">
        <v>5</v>
      </c>
      <c r="E10" s="68">
        <f t="shared" si="2"/>
        <v>19250</v>
      </c>
      <c r="F10" s="68">
        <v>5</v>
      </c>
      <c r="G10" s="68">
        <f t="shared" si="3"/>
        <v>19250</v>
      </c>
      <c r="H10" s="65">
        <v>0.1</v>
      </c>
      <c r="I10" s="65">
        <v>0.3</v>
      </c>
      <c r="J10" s="68">
        <f t="shared" si="4"/>
        <v>1925</v>
      </c>
      <c r="K10" s="68">
        <f t="shared" si="5"/>
        <v>5775</v>
      </c>
      <c r="L10" s="68">
        <v>770</v>
      </c>
      <c r="M10" s="69"/>
      <c r="N10" s="70">
        <f t="shared" si="6"/>
        <v>6930</v>
      </c>
      <c r="O10" s="70">
        <f t="shared" si="7"/>
        <v>0</v>
      </c>
    </row>
    <row r="11" spans="1:15" ht="50.1" customHeight="1" x14ac:dyDescent="0.15">
      <c r="A11" s="66">
        <v>613002</v>
      </c>
      <c r="B11" s="67" t="s">
        <v>47</v>
      </c>
      <c r="C11" s="67" t="s">
        <v>47</v>
      </c>
      <c r="D11" s="68">
        <v>2</v>
      </c>
      <c r="E11" s="68">
        <f t="shared" si="2"/>
        <v>7700</v>
      </c>
      <c r="F11" s="68">
        <v>2</v>
      </c>
      <c r="G11" s="68">
        <f t="shared" si="3"/>
        <v>7700</v>
      </c>
      <c r="H11" s="65">
        <v>0.1</v>
      </c>
      <c r="I11" s="65">
        <v>0.3</v>
      </c>
      <c r="J11" s="68">
        <f t="shared" si="4"/>
        <v>770</v>
      </c>
      <c r="K11" s="68">
        <f t="shared" si="5"/>
        <v>2310</v>
      </c>
      <c r="L11" s="68">
        <v>770</v>
      </c>
      <c r="M11" s="69"/>
      <c r="N11" s="70">
        <f t="shared" si="6"/>
        <v>2310</v>
      </c>
      <c r="O11" s="70">
        <f t="shared" si="7"/>
        <v>0</v>
      </c>
    </row>
    <row r="12" spans="1:15" ht="50.1" customHeight="1" x14ac:dyDescent="0.15">
      <c r="A12" s="66">
        <v>613004</v>
      </c>
      <c r="B12" s="67" t="s">
        <v>48</v>
      </c>
      <c r="C12" s="67" t="s">
        <v>48</v>
      </c>
      <c r="D12" s="68">
        <v>15</v>
      </c>
      <c r="E12" s="68">
        <f t="shared" si="2"/>
        <v>57750</v>
      </c>
      <c r="F12" s="68">
        <v>20</v>
      </c>
      <c r="G12" s="68">
        <f t="shared" si="3"/>
        <v>77000</v>
      </c>
      <c r="H12" s="65">
        <v>0.1</v>
      </c>
      <c r="I12" s="65">
        <v>0.3</v>
      </c>
      <c r="J12" s="68">
        <f t="shared" si="4"/>
        <v>5775</v>
      </c>
      <c r="K12" s="68">
        <f t="shared" si="5"/>
        <v>23100</v>
      </c>
      <c r="L12" s="68">
        <v>6930</v>
      </c>
      <c r="M12" s="69"/>
      <c r="N12" s="70">
        <f t="shared" si="6"/>
        <v>21945</v>
      </c>
      <c r="O12" s="70">
        <f t="shared" si="7"/>
        <v>0</v>
      </c>
    </row>
    <row r="13" spans="1:15" ht="50.1" customHeight="1" x14ac:dyDescent="0.15">
      <c r="A13" s="66">
        <v>613005</v>
      </c>
      <c r="B13" s="67" t="s">
        <v>49</v>
      </c>
      <c r="C13" s="67" t="s">
        <v>49</v>
      </c>
      <c r="D13" s="68">
        <v>8</v>
      </c>
      <c r="E13" s="68">
        <f t="shared" si="2"/>
        <v>30800</v>
      </c>
      <c r="F13" s="68">
        <v>9</v>
      </c>
      <c r="G13" s="68">
        <f t="shared" si="3"/>
        <v>34650</v>
      </c>
      <c r="H13" s="65">
        <v>0.49</v>
      </c>
      <c r="I13" s="65">
        <v>0.65</v>
      </c>
      <c r="J13" s="68">
        <f t="shared" si="4"/>
        <v>15092</v>
      </c>
      <c r="K13" s="68">
        <f t="shared" si="5"/>
        <v>22522.5</v>
      </c>
      <c r="L13" s="68">
        <v>11319</v>
      </c>
      <c r="M13" s="69"/>
      <c r="N13" s="70">
        <f t="shared" si="6"/>
        <v>26296</v>
      </c>
      <c r="O13" s="70">
        <f t="shared" si="7"/>
        <v>0</v>
      </c>
    </row>
    <row r="14" spans="1:15" ht="50.1" customHeight="1" x14ac:dyDescent="0.15">
      <c r="A14" s="66">
        <v>613006</v>
      </c>
      <c r="B14" s="67" t="s">
        <v>50</v>
      </c>
      <c r="C14" s="67" t="s">
        <v>50</v>
      </c>
      <c r="D14" s="68">
        <v>11</v>
      </c>
      <c r="E14" s="68">
        <f t="shared" si="2"/>
        <v>42350</v>
      </c>
      <c r="F14" s="68">
        <v>11</v>
      </c>
      <c r="G14" s="68">
        <f t="shared" si="3"/>
        <v>42350</v>
      </c>
      <c r="H14" s="65">
        <v>0.49</v>
      </c>
      <c r="I14" s="65">
        <v>0.65</v>
      </c>
      <c r="J14" s="68">
        <f t="shared" si="4"/>
        <v>20751.5</v>
      </c>
      <c r="K14" s="68">
        <f t="shared" si="5"/>
        <v>27527.5</v>
      </c>
      <c r="L14" s="68">
        <v>13205.5</v>
      </c>
      <c r="M14" s="69"/>
      <c r="N14" s="70">
        <f t="shared" si="6"/>
        <v>35074</v>
      </c>
      <c r="O14" s="70">
        <f t="shared" si="7"/>
        <v>0</v>
      </c>
    </row>
    <row r="15" spans="1:15" ht="50.1" customHeight="1" x14ac:dyDescent="0.15">
      <c r="A15" s="66">
        <v>613007</v>
      </c>
      <c r="B15" s="67" t="s">
        <v>51</v>
      </c>
      <c r="C15" s="67" t="s">
        <v>51</v>
      </c>
      <c r="D15" s="68">
        <v>2</v>
      </c>
      <c r="E15" s="68">
        <f t="shared" si="2"/>
        <v>7700</v>
      </c>
      <c r="F15" s="68">
        <v>3</v>
      </c>
      <c r="G15" s="68">
        <f t="shared" si="3"/>
        <v>11550</v>
      </c>
      <c r="H15" s="65">
        <v>0.1</v>
      </c>
      <c r="I15" s="65">
        <v>0.65</v>
      </c>
      <c r="J15" s="68">
        <f t="shared" si="4"/>
        <v>770</v>
      </c>
      <c r="K15" s="68">
        <f t="shared" si="5"/>
        <v>7507.5</v>
      </c>
      <c r="L15" s="68">
        <v>0</v>
      </c>
      <c r="M15" s="69">
        <v>385</v>
      </c>
      <c r="N15" s="70">
        <f t="shared" si="6"/>
        <v>7893</v>
      </c>
      <c r="O15" s="70">
        <f t="shared" si="7"/>
        <v>0</v>
      </c>
    </row>
    <row r="16" spans="1:15" ht="50.1" customHeight="1" x14ac:dyDescent="0.15">
      <c r="A16" s="66">
        <v>613008</v>
      </c>
      <c r="B16" s="67" t="s">
        <v>52</v>
      </c>
      <c r="C16" s="67" t="s">
        <v>52</v>
      </c>
      <c r="D16" s="68">
        <v>8</v>
      </c>
      <c r="E16" s="68">
        <f t="shared" si="2"/>
        <v>30800</v>
      </c>
      <c r="F16" s="68">
        <v>8</v>
      </c>
      <c r="G16" s="68">
        <f t="shared" si="3"/>
        <v>30800</v>
      </c>
      <c r="H16" s="65">
        <v>0.7</v>
      </c>
      <c r="I16" s="65">
        <v>0.65</v>
      </c>
      <c r="J16" s="68">
        <f t="shared" si="4"/>
        <v>21560</v>
      </c>
      <c r="K16" s="68">
        <f t="shared" si="5"/>
        <v>20020</v>
      </c>
      <c r="L16" s="68">
        <v>18865</v>
      </c>
      <c r="M16" s="69"/>
      <c r="N16" s="70">
        <f t="shared" si="6"/>
        <v>22715</v>
      </c>
      <c r="O16" s="70">
        <f t="shared" si="7"/>
        <v>0</v>
      </c>
    </row>
    <row r="17" spans="2:3" ht="13.5" customHeight="1" x14ac:dyDescent="0.15">
      <c r="B17" s="71"/>
      <c r="C17" s="71"/>
    </row>
    <row r="18" spans="2:3" ht="13.5" customHeight="1" x14ac:dyDescent="0.15">
      <c r="B18" s="71"/>
      <c r="C18" s="71"/>
    </row>
    <row r="19" spans="2:3" ht="13.5" customHeight="1" x14ac:dyDescent="0.15">
      <c r="B19" s="71"/>
      <c r="C19" s="71"/>
    </row>
    <row r="20" spans="2:3" ht="13.5" customHeight="1" x14ac:dyDescent="0.15">
      <c r="B20" s="71"/>
      <c r="C20" s="71"/>
    </row>
  </sheetData>
  <mergeCells count="12">
    <mergeCell ref="O4:O5"/>
    <mergeCell ref="A6:C6"/>
    <mergeCell ref="A2:O2"/>
    <mergeCell ref="A4:A5"/>
    <mergeCell ref="B4:B5"/>
    <mergeCell ref="C4:C5"/>
    <mergeCell ref="D4:E4"/>
    <mergeCell ref="F4:G4"/>
    <mergeCell ref="H4:H5"/>
    <mergeCell ref="I4:I5"/>
    <mergeCell ref="J4:M4"/>
    <mergeCell ref="N4:N5"/>
  </mergeCells>
  <phoneticPr fontId="9" type="noConversion"/>
  <printOptions horizontalCentered="1"/>
  <pageMargins left="0.27559055118110237" right="0.27559055118110237" top="0.59055118110236227" bottom="0.59055118110236227" header="0.51181102362204722" footer="0.51181102362204722"/>
  <pageSetup paperSize="9" scale="5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7</vt:i4>
      </vt:variant>
    </vt:vector>
  </HeadingPairs>
  <TitlesOfParts>
    <vt:vector size="10" baseType="lpstr">
      <vt:lpstr>附件1</vt:lpstr>
      <vt:lpstr>附件2</vt:lpstr>
      <vt:lpstr>附件3</vt:lpstr>
      <vt:lpstr>附件1!Print_Area</vt:lpstr>
      <vt:lpstr>附件2!Print_Area</vt:lpstr>
      <vt:lpstr>附件1!Print_Title</vt:lpstr>
      <vt:lpstr>附件2!Print_Title</vt:lpstr>
      <vt:lpstr>附件3!Print_Title</vt:lpstr>
      <vt:lpstr>附件1!Print_Titles</vt:lpstr>
      <vt:lpstr>附件3!Print_Titles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莫丽云</cp:lastModifiedBy>
  <cp:revision>0</cp:revision>
  <cp:lastPrinted>2018-12-27T07:30:56Z</cp:lastPrinted>
  <dcterms:created xsi:type="dcterms:W3CDTF">2018-12-19T06:29:00Z</dcterms:created>
  <dcterms:modified xsi:type="dcterms:W3CDTF">2018-12-29T04:15:46Z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2052-10.8.2.6666</vt:lpwstr>
  </property>
</Properties>
</file>